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1\РСД 110 от 27.12.2021\"/>
    </mc:Choice>
  </mc:AlternateContent>
  <xr:revisionPtr revIDLastSave="0" documentId="13_ncr:1_{4B4982DF-5F78-421D-9EB7-9ADA72161BE4}" xr6:coauthVersionLast="47" xr6:coauthVersionMax="47" xr10:uidLastSave="{00000000-0000-0000-0000-000000000000}"/>
  <bookViews>
    <workbookView xWindow="-120" yWindow="-120" windowWidth="29040" windowHeight="15840" tabRatio="799" activeTab="4" xr2:uid="{00000000-000D-0000-FFFF-FFFF00000000}"/>
  </bookViews>
  <sheets>
    <sheet name="прил 2- 1" sheetId="84" r:id="rId1"/>
    <sheet name="прил 5-2" sheetId="52" r:id="rId2"/>
    <sheet name="прил 7 - 3" sheetId="53" r:id="rId3"/>
    <sheet name="прил 11 - 4" sheetId="109" r:id="rId4"/>
    <sheet name="прил 13-5" sheetId="103" r:id="rId5"/>
  </sheets>
  <definedNames>
    <definedName name="_xlnm._FilterDatabase" localSheetId="1" hidden="1">'прил 5-2'!$A$21:$H$405</definedName>
    <definedName name="_xlnm._FilterDatabase" localSheetId="2" hidden="1">'прил 7 - 3'!$A$20:$I$420</definedName>
    <definedName name="_xlnm.Print_Area" localSheetId="1">'прил 5-2'!$A$14:$F$405</definedName>
    <definedName name="_xlnm.Print_Area" localSheetId="2">'прил 7 - 3'!$A$14:$G$420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53" l="1"/>
  <c r="G77" i="53"/>
  <c r="F36" i="103"/>
  <c r="C25" i="109"/>
  <c r="F165" i="52"/>
  <c r="G153" i="53"/>
  <c r="C69" i="84"/>
  <c r="C68" i="84" s="1"/>
  <c r="F370" i="52"/>
  <c r="F358" i="52"/>
  <c r="F56" i="52"/>
  <c r="G196" i="53"/>
  <c r="G181" i="53"/>
  <c r="G187" i="53"/>
  <c r="G186" i="53" s="1"/>
  <c r="E51" i="84"/>
  <c r="D51" i="84"/>
  <c r="F324" i="52"/>
  <c r="F330" i="52"/>
  <c r="F327" i="52"/>
  <c r="F102" i="52"/>
  <c r="F146" i="52"/>
  <c r="F150" i="52"/>
  <c r="F235" i="52"/>
  <c r="F234" i="52" s="1"/>
  <c r="F233" i="52" s="1"/>
  <c r="F232" i="52" s="1"/>
  <c r="F236" i="52"/>
  <c r="F197" i="52"/>
  <c r="F135" i="52"/>
  <c r="F134" i="52" s="1"/>
  <c r="F133" i="52" s="1"/>
  <c r="F132" i="52" s="1"/>
  <c r="F131" i="52" s="1"/>
  <c r="F31" i="52"/>
  <c r="F30" i="52" s="1"/>
  <c r="F29" i="52" s="1"/>
  <c r="G146" i="53"/>
  <c r="G143" i="53"/>
  <c r="G322" i="53"/>
  <c r="G75" i="53"/>
  <c r="G380" i="53"/>
  <c r="G230" i="53"/>
  <c r="G224" i="53"/>
  <c r="G106" i="53"/>
  <c r="G245" i="53"/>
  <c r="G270" i="53"/>
  <c r="G249" i="53"/>
  <c r="G248" i="53"/>
  <c r="G247" i="53"/>
  <c r="G246" i="53" s="1"/>
  <c r="C26" i="109"/>
  <c r="C23" i="84"/>
  <c r="C43" i="84"/>
  <c r="C39" i="84"/>
  <c r="C34" i="84"/>
  <c r="C32" i="84"/>
  <c r="C30" i="84"/>
  <c r="C29" i="84"/>
  <c r="G152" i="53"/>
  <c r="G151" i="53" s="1"/>
  <c r="G150" i="53" s="1"/>
  <c r="F145" i="52"/>
  <c r="F144" i="52" s="1"/>
  <c r="F143" i="52" s="1"/>
  <c r="G145" i="53"/>
  <c r="G144" i="53" s="1"/>
  <c r="G142" i="53"/>
  <c r="G141" i="53" s="1"/>
  <c r="F130" i="52"/>
  <c r="C38" i="84"/>
  <c r="C37" i="84" s="1"/>
  <c r="G105" i="53"/>
  <c r="G102" i="53"/>
  <c r="G100" i="53" s="1"/>
  <c r="G99" i="53" s="1"/>
  <c r="F185" i="52"/>
  <c r="F196" i="52"/>
  <c r="F195" i="52" s="1"/>
  <c r="F194" i="52" s="1"/>
  <c r="G261" i="53"/>
  <c r="G260" i="53" s="1"/>
  <c r="G259" i="53" s="1"/>
  <c r="G378" i="53"/>
  <c r="G377" i="53" s="1"/>
  <c r="G382" i="53"/>
  <c r="G381" i="53" s="1"/>
  <c r="F247" i="52"/>
  <c r="F246" i="52" s="1"/>
  <c r="F245" i="52" s="1"/>
  <c r="F244" i="52" s="1"/>
  <c r="F243" i="52" s="1"/>
  <c r="F242" i="52" s="1"/>
  <c r="G285" i="53"/>
  <c r="G284" i="53" s="1"/>
  <c r="G283" i="53" s="1"/>
  <c r="G282" i="53" s="1"/>
  <c r="G281" i="53" s="1"/>
  <c r="F170" i="52"/>
  <c r="F169" i="52" s="1"/>
  <c r="F168" i="52" s="1"/>
  <c r="F179" i="52"/>
  <c r="F178" i="52" s="1"/>
  <c r="F177" i="52" s="1"/>
  <c r="F176" i="52" s="1"/>
  <c r="G223" i="53"/>
  <c r="G222" i="53" s="1"/>
  <c r="G227" i="53"/>
  <c r="G226" i="53" s="1"/>
  <c r="G225" i="53" s="1"/>
  <c r="F101" i="52"/>
  <c r="F100" i="52" s="1"/>
  <c r="F123" i="52"/>
  <c r="F122" i="52" s="1"/>
  <c r="F119" i="52" s="1"/>
  <c r="F118" i="52" s="1"/>
  <c r="G321" i="53"/>
  <c r="G338" i="53"/>
  <c r="G337" i="53" s="1"/>
  <c r="G46" i="103"/>
  <c r="F389" i="52"/>
  <c r="F388" i="52" s="1"/>
  <c r="F385" i="52"/>
  <c r="F384" i="52" s="1"/>
  <c r="F377" i="52"/>
  <c r="F369" i="52"/>
  <c r="F323" i="52"/>
  <c r="F322" i="52" s="1"/>
  <c r="F332" i="52"/>
  <c r="F331" i="52" s="1"/>
  <c r="F258" i="52"/>
  <c r="F257" i="52" s="1"/>
  <c r="F256" i="52" s="1"/>
  <c r="F255" i="52" s="1"/>
  <c r="F254" i="52" s="1"/>
  <c r="F159" i="52"/>
  <c r="F158" i="52" s="1"/>
  <c r="F157" i="52" s="1"/>
  <c r="F156" i="52" s="1"/>
  <c r="F155" i="52" s="1"/>
  <c r="F154" i="52"/>
  <c r="F153" i="52" s="1"/>
  <c r="F152" i="52" s="1"/>
  <c r="F151" i="52" s="1"/>
  <c r="F117" i="52"/>
  <c r="F116" i="52" s="1"/>
  <c r="F115" i="52" s="1"/>
  <c r="F114" i="52" s="1"/>
  <c r="F81" i="52"/>
  <c r="F62" i="52" s="1"/>
  <c r="F61" i="52" s="1"/>
  <c r="F60" i="52" s="1"/>
  <c r="F57" i="52" s="1"/>
  <c r="F34" i="52"/>
  <c r="F33" i="52" s="1"/>
  <c r="F50" i="52"/>
  <c r="F49" i="52" s="1"/>
  <c r="F47" i="52" s="1"/>
  <c r="F46" i="52" s="1"/>
  <c r="F45" i="52" s="1"/>
  <c r="F28" i="52"/>
  <c r="F27" i="52" s="1"/>
  <c r="F26" i="52" s="1"/>
  <c r="F44" i="52"/>
  <c r="F43" i="52" s="1"/>
  <c r="F42" i="52" s="1"/>
  <c r="F41" i="52" s="1"/>
  <c r="G395" i="53"/>
  <c r="G394" i="53" s="1"/>
  <c r="G379" i="53"/>
  <c r="G149" i="53"/>
  <c r="G148" i="53" s="1"/>
  <c r="G147" i="53" s="1"/>
  <c r="G390" i="53"/>
  <c r="G389" i="53" s="1"/>
  <c r="G388" i="53" s="1"/>
  <c r="G365" i="53"/>
  <c r="G364" i="53" s="1"/>
  <c r="G363" i="53" s="1"/>
  <c r="G360" i="53" s="1"/>
  <c r="G359" i="53" s="1"/>
  <c r="G333" i="53"/>
  <c r="G332" i="53" s="1"/>
  <c r="G331" i="53" s="1"/>
  <c r="G294" i="53"/>
  <c r="G293" i="53" s="1"/>
  <c r="G292" i="53" s="1"/>
  <c r="G291" i="53" s="1"/>
  <c r="G255" i="53"/>
  <c r="G254" i="53" s="1"/>
  <c r="G218" i="53"/>
  <c r="G217" i="53" s="1"/>
  <c r="G215" i="53"/>
  <c r="G214" i="53" s="1"/>
  <c r="G213" i="53" s="1"/>
  <c r="G195" i="53"/>
  <c r="G194" i="53" s="1"/>
  <c r="G72" i="53"/>
  <c r="G78" i="53"/>
  <c r="C62" i="84"/>
  <c r="C57" i="84"/>
  <c r="C51" i="84" s="1"/>
  <c r="F329" i="52"/>
  <c r="F142" i="52"/>
  <c r="F141" i="52" s="1"/>
  <c r="F140" i="52" s="1"/>
  <c r="G140" i="53"/>
  <c r="G138" i="53" s="1"/>
  <c r="F362" i="52"/>
  <c r="F361" i="52" s="1"/>
  <c r="F360" i="52" s="1"/>
  <c r="F359" i="52" s="1"/>
  <c r="G190" i="53"/>
  <c r="G189" i="53" s="1"/>
  <c r="H45" i="103"/>
  <c r="H44" i="103" s="1"/>
  <c r="H42" i="103" s="1"/>
  <c r="G45" i="103"/>
  <c r="G44" i="103" s="1"/>
  <c r="G42" i="103" s="1"/>
  <c r="H40" i="103"/>
  <c r="H39" i="103" s="1"/>
  <c r="H37" i="103" s="1"/>
  <c r="G40" i="103"/>
  <c r="G39" i="103" s="1"/>
  <c r="F40" i="103"/>
  <c r="F39" i="103" s="1"/>
  <c r="F37" i="103" s="1"/>
  <c r="G36" i="103"/>
  <c r="H35" i="103"/>
  <c r="H34" i="103" s="1"/>
  <c r="G35" i="103"/>
  <c r="G34" i="103" s="1"/>
  <c r="G32" i="103" s="1"/>
  <c r="F35" i="103"/>
  <c r="F34" i="103" s="1"/>
  <c r="F32" i="103" s="1"/>
  <c r="H32" i="103"/>
  <c r="H30" i="103"/>
  <c r="H29" i="103" s="1"/>
  <c r="H27" i="103" s="1"/>
  <c r="G30" i="103"/>
  <c r="G29" i="103" s="1"/>
  <c r="G27" i="103" s="1"/>
  <c r="F30" i="103"/>
  <c r="F29" i="103"/>
  <c r="F27" i="103" s="1"/>
  <c r="H25" i="103"/>
  <c r="H22" i="103" s="1"/>
  <c r="G25" i="103"/>
  <c r="G24" i="103"/>
  <c r="F25" i="103"/>
  <c r="F22" i="103"/>
  <c r="F24" i="103"/>
  <c r="G22" i="103"/>
  <c r="G121" i="53"/>
  <c r="G120" i="53" s="1"/>
  <c r="G126" i="53"/>
  <c r="G125" i="53" s="1"/>
  <c r="G139" i="53"/>
  <c r="E30" i="84"/>
  <c r="E28" i="84" s="1"/>
  <c r="D30" i="84"/>
  <c r="D28" i="84" s="1"/>
  <c r="F55" i="52"/>
  <c r="F53" i="52" s="1"/>
  <c r="F52" i="52" s="1"/>
  <c r="F51" i="52" s="1"/>
  <c r="G180" i="53"/>
  <c r="F184" i="52"/>
  <c r="F183" i="52" s="1"/>
  <c r="F182" i="52" s="1"/>
  <c r="F366" i="52"/>
  <c r="F365" i="52" s="1"/>
  <c r="F364" i="52" s="1"/>
  <c r="F363" i="52" s="1"/>
  <c r="G193" i="53"/>
  <c r="G191" i="53" s="1"/>
  <c r="F351" i="52"/>
  <c r="F350" i="52" s="1"/>
  <c r="F349" i="52" s="1"/>
  <c r="G92" i="53"/>
  <c r="G91" i="53" s="1"/>
  <c r="F423" i="52"/>
  <c r="F422" i="52" s="1"/>
  <c r="C41" i="84"/>
  <c r="C40" i="84" s="1"/>
  <c r="F303" i="52"/>
  <c r="F302" i="52" s="1"/>
  <c r="F284" i="52"/>
  <c r="G320" i="53"/>
  <c r="G319" i="53" s="1"/>
  <c r="G312" i="53"/>
  <c r="G311" i="53" s="1"/>
  <c r="G267" i="53"/>
  <c r="G265" i="53" s="1"/>
  <c r="G228" i="53"/>
  <c r="G119" i="53"/>
  <c r="G118" i="53" s="1"/>
  <c r="G94" i="53"/>
  <c r="G93" i="53" s="1"/>
  <c r="G31" i="53"/>
  <c r="G30" i="53" s="1"/>
  <c r="G29" i="53"/>
  <c r="G28" i="53" s="1"/>
  <c r="G402" i="53"/>
  <c r="F39" i="52"/>
  <c r="F38" i="52" s="1"/>
  <c r="F37" i="52" s="1"/>
  <c r="F149" i="52"/>
  <c r="F148" i="52" s="1"/>
  <c r="F147" i="52" s="1"/>
  <c r="G132" i="53"/>
  <c r="G131" i="53" s="1"/>
  <c r="G130" i="53" s="1"/>
  <c r="G129" i="53" s="1"/>
  <c r="G128" i="53" s="1"/>
  <c r="C31" i="84"/>
  <c r="F346" i="52"/>
  <c r="F345" i="52" s="1"/>
  <c r="F344" i="52" s="1"/>
  <c r="G163" i="53"/>
  <c r="G162" i="53" s="1"/>
  <c r="G160" i="53"/>
  <c r="G159" i="53" s="1"/>
  <c r="G174" i="53"/>
  <c r="G173" i="53" s="1"/>
  <c r="G172" i="53" s="1"/>
  <c r="F192" i="52"/>
  <c r="F191" i="52" s="1"/>
  <c r="F190" i="52" s="1"/>
  <c r="G269" i="53"/>
  <c r="G268" i="53"/>
  <c r="G279" i="53"/>
  <c r="G278" i="53" s="1"/>
  <c r="G277" i="53" s="1"/>
  <c r="G276" i="53" s="1"/>
  <c r="D31" i="84"/>
  <c r="D64" i="84"/>
  <c r="E48" i="84"/>
  <c r="D48" i="84"/>
  <c r="E68" i="84"/>
  <c r="D68" i="84"/>
  <c r="E64" i="84"/>
  <c r="C64" i="84"/>
  <c r="C48" i="84"/>
  <c r="E44" i="84"/>
  <c r="D44" i="84"/>
  <c r="C44" i="84"/>
  <c r="E40" i="84"/>
  <c r="D40" i="84"/>
  <c r="E37" i="84"/>
  <c r="D37" i="84"/>
  <c r="E31" i="84"/>
  <c r="C28" i="84"/>
  <c r="E26" i="84"/>
  <c r="D26" i="84"/>
  <c r="C26" i="84"/>
  <c r="E24" i="84"/>
  <c r="D24" i="84"/>
  <c r="C24" i="84"/>
  <c r="F188" i="52"/>
  <c r="F187" i="52" s="1"/>
  <c r="F186" i="52" s="1"/>
  <c r="F416" i="52"/>
  <c r="F419" i="52"/>
  <c r="F418" i="52"/>
  <c r="G349" i="53"/>
  <c r="G348" i="53"/>
  <c r="G347" i="53" s="1"/>
  <c r="G346" i="53" s="1"/>
  <c r="G345" i="53" s="1"/>
  <c r="F104" i="52"/>
  <c r="F103" i="52" s="1"/>
  <c r="G324" i="53"/>
  <c r="G323" i="53"/>
  <c r="F326" i="52"/>
  <c r="F325" i="52" s="1"/>
  <c r="G74" i="53"/>
  <c r="F342" i="52"/>
  <c r="F341" i="52" s="1"/>
  <c r="F340" i="52" s="1"/>
  <c r="F415" i="52"/>
  <c r="F270" i="52"/>
  <c r="F268" i="52"/>
  <c r="F267" i="52" s="1"/>
  <c r="G326" i="53"/>
  <c r="G423" i="53"/>
  <c r="G421" i="53"/>
  <c r="G263" i="53"/>
  <c r="G262" i="53" s="1"/>
  <c r="G32" i="53"/>
  <c r="F412" i="52"/>
  <c r="F410" i="52" s="1"/>
  <c r="F408" i="52"/>
  <c r="F407" i="52" s="1"/>
  <c r="F404" i="52"/>
  <c r="F403" i="52" s="1"/>
  <c r="F400" i="52"/>
  <c r="F399" i="52" s="1"/>
  <c r="F396" i="52"/>
  <c r="F395" i="52" s="1"/>
  <c r="F394" i="52" s="1"/>
  <c r="F392" i="52"/>
  <c r="F390" i="52" s="1"/>
  <c r="F376" i="52"/>
  <c r="F374" i="52" s="1"/>
  <c r="F372" i="52"/>
  <c r="F371" i="52" s="1"/>
  <c r="F357" i="52"/>
  <c r="F356" i="52" s="1"/>
  <c r="F353" i="52"/>
  <c r="F352" i="52" s="1"/>
  <c r="F338" i="52"/>
  <c r="F337" i="52" s="1"/>
  <c r="F336" i="52" s="1"/>
  <c r="F316" i="52"/>
  <c r="F315" i="52" s="1"/>
  <c r="F314" i="52" s="1"/>
  <c r="F313" i="52" s="1"/>
  <c r="F312" i="52" s="1"/>
  <c r="F310" i="52"/>
  <c r="F309" i="52" s="1"/>
  <c r="F307" i="52"/>
  <c r="F306" i="52" s="1"/>
  <c r="F300" i="52"/>
  <c r="F299" i="52" s="1"/>
  <c r="F296" i="52"/>
  <c r="F294" i="52" s="1"/>
  <c r="F292" i="52"/>
  <c r="F291" i="52" s="1"/>
  <c r="F288" i="52"/>
  <c r="F286" i="52" s="1"/>
  <c r="F282" i="52"/>
  <c r="F279" i="52"/>
  <c r="F278" i="52" s="1"/>
  <c r="F276" i="52"/>
  <c r="F275" i="52" s="1"/>
  <c r="F265" i="52"/>
  <c r="F264" i="52" s="1"/>
  <c r="F252" i="52"/>
  <c r="F251" i="52" s="1"/>
  <c r="F250" i="52" s="1"/>
  <c r="F249" i="52" s="1"/>
  <c r="F230" i="52"/>
  <c r="F229" i="52" s="1"/>
  <c r="F228" i="52" s="1"/>
  <c r="F226" i="52"/>
  <c r="F225" i="52" s="1"/>
  <c r="F224" i="52" s="1"/>
  <c r="F222" i="52"/>
  <c r="F221" i="52" s="1"/>
  <c r="F220" i="52" s="1"/>
  <c r="F218" i="52"/>
  <c r="F217" i="52" s="1"/>
  <c r="F216" i="52" s="1"/>
  <c r="F212" i="52"/>
  <c r="F211" i="52" s="1"/>
  <c r="F210" i="52" s="1"/>
  <c r="F208" i="52"/>
  <c r="F207" i="52" s="1"/>
  <c r="F206" i="52" s="1"/>
  <c r="F202" i="52"/>
  <c r="F201" i="52" s="1"/>
  <c r="F200" i="52" s="1"/>
  <c r="F199" i="52" s="1"/>
  <c r="F198" i="52" s="1"/>
  <c r="F174" i="52"/>
  <c r="F173" i="52" s="1"/>
  <c r="F164" i="52"/>
  <c r="F163" i="52" s="1"/>
  <c r="F129" i="52"/>
  <c r="F128" i="52" s="1"/>
  <c r="F98" i="52"/>
  <c r="F97" i="52" s="1"/>
  <c r="F92" i="52"/>
  <c r="F91" i="52" s="1"/>
  <c r="F90" i="52"/>
  <c r="F87" i="52"/>
  <c r="F84" i="52" s="1"/>
  <c r="F85" i="52"/>
  <c r="F76" i="52"/>
  <c r="F75" i="52" s="1"/>
  <c r="F74" i="52" s="1"/>
  <c r="F70" i="52"/>
  <c r="F69" i="52" s="1"/>
  <c r="F68" i="52" s="1"/>
  <c r="F66" i="52"/>
  <c r="F65" i="52" s="1"/>
  <c r="F64" i="52" s="1"/>
  <c r="G386" i="53"/>
  <c r="G385" i="53" s="1"/>
  <c r="G240" i="53"/>
  <c r="G239" i="53" s="1"/>
  <c r="G236" i="53"/>
  <c r="G44" i="53"/>
  <c r="G111" i="53"/>
  <c r="G110" i="53" s="1"/>
  <c r="G109" i="53" s="1"/>
  <c r="G108" i="53" s="1"/>
  <c r="G107" i="53" s="1"/>
  <c r="G83" i="53"/>
  <c r="G82" i="53" s="1"/>
  <c r="G81" i="53" s="1"/>
  <c r="G80" i="53" s="1"/>
  <c r="G79" i="53" s="1"/>
  <c r="G243" i="53"/>
  <c r="G410" i="53"/>
  <c r="G409" i="53"/>
  <c r="G408" i="53" s="1"/>
  <c r="G407" i="53" s="1"/>
  <c r="G406" i="53" s="1"/>
  <c r="G405" i="53" s="1"/>
  <c r="G404" i="53" s="1"/>
  <c r="G369" i="53"/>
  <c r="G368" i="53" s="1"/>
  <c r="G367" i="53" s="1"/>
  <c r="G366" i="53" s="1"/>
  <c r="G357" i="53"/>
  <c r="G356" i="53"/>
  <c r="G355" i="53" s="1"/>
  <c r="G354" i="53" s="1"/>
  <c r="G353" i="53" s="1"/>
  <c r="G352" i="53" s="1"/>
  <c r="G157" i="53"/>
  <c r="G156" i="53"/>
  <c r="G155" i="53" s="1"/>
  <c r="G154" i="53" s="1"/>
  <c r="G123" i="53"/>
  <c r="G58" i="53"/>
  <c r="G57" i="53"/>
  <c r="G56" i="53" s="1"/>
  <c r="G55" i="53" s="1"/>
  <c r="G54" i="53" s="1"/>
  <c r="G53" i="53" s="1"/>
  <c r="G289" i="53"/>
  <c r="G288" i="53" s="1"/>
  <c r="G287" i="53" s="1"/>
  <c r="G299" i="53"/>
  <c r="G298" i="53" s="1"/>
  <c r="G297" i="53" s="1"/>
  <c r="G296" i="53" s="1"/>
  <c r="G295" i="53" s="1"/>
  <c r="G273" i="53"/>
  <c r="G272" i="53" s="1"/>
  <c r="G271" i="53" s="1"/>
  <c r="G419" i="53"/>
  <c r="G418" i="53" s="1"/>
  <c r="G417" i="53" s="1"/>
  <c r="G416" i="53" s="1"/>
  <c r="G415" i="53" s="1"/>
  <c r="G307" i="53"/>
  <c r="G203" i="53"/>
  <c r="G202" i="53" s="1"/>
  <c r="G201" i="53" s="1"/>
  <c r="G343" i="53"/>
  <c r="G342" i="53"/>
  <c r="G341" i="53" s="1"/>
  <c r="G340" i="53" s="1"/>
  <c r="G339" i="53" s="1"/>
  <c r="G233" i="53"/>
  <c r="G234" i="53"/>
  <c r="G168" i="53"/>
  <c r="G167" i="53"/>
  <c r="G208" i="53"/>
  <c r="G207" i="53" s="1"/>
  <c r="G206" i="53" s="1"/>
  <c r="G205" i="53" s="1"/>
  <c r="G274" i="53"/>
  <c r="G188" i="53"/>
  <c r="G64" i="53"/>
  <c r="G63" i="53" s="1"/>
  <c r="G62" i="53" s="1"/>
  <c r="G61" i="53" s="1"/>
  <c r="G60" i="53" s="1"/>
  <c r="G51" i="53"/>
  <c r="G50" i="53"/>
  <c r="G47" i="53" s="1"/>
  <c r="G46" i="53" s="1"/>
  <c r="G39" i="53"/>
  <c r="G38" i="53"/>
  <c r="G36" i="53"/>
  <c r="G35" i="53"/>
  <c r="G306" i="53"/>
  <c r="G305" i="53" s="1"/>
  <c r="G242" i="53"/>
  <c r="G43" i="53"/>
  <c r="G42" i="53" s="1"/>
  <c r="G41" i="53" s="1"/>
  <c r="G237" i="53"/>
  <c r="F58" i="52"/>
  <c r="F414" i="52"/>
  <c r="G401" i="53"/>
  <c r="G400" i="53" s="1"/>
  <c r="G399" i="53" s="1"/>
  <c r="G398" i="53" s="1"/>
  <c r="H24" i="103"/>
  <c r="F89" i="52"/>
  <c r="F83" i="52" s="1"/>
  <c r="F290" i="52"/>
  <c r="F402" i="52"/>
  <c r="F287" i="52" l="1"/>
  <c r="F398" i="52"/>
  <c r="F139" i="52"/>
  <c r="F411" i="52"/>
  <c r="F80" i="52"/>
  <c r="F79" i="52" s="1"/>
  <c r="F78" i="52" s="1"/>
  <c r="F328" i="52"/>
  <c r="F387" i="52"/>
  <c r="F386" i="52"/>
  <c r="F172" i="52"/>
  <c r="F355" i="52"/>
  <c r="F305" i="52"/>
  <c r="F21" i="103"/>
  <c r="F20" i="103" s="1"/>
  <c r="F19" i="103" s="1"/>
  <c r="F18" i="103" s="1"/>
  <c r="G310" i="53"/>
  <c r="G309" i="53" s="1"/>
  <c r="G304" i="53" s="1"/>
  <c r="G303" i="53" s="1"/>
  <c r="G302" i="53" s="1"/>
  <c r="G301" i="53" s="1"/>
  <c r="G185" i="53"/>
  <c r="G184" i="53"/>
  <c r="G183" i="53" s="1"/>
  <c r="G182" i="53" s="1"/>
  <c r="G49" i="53"/>
  <c r="G48" i="53" s="1"/>
  <c r="G179" i="53"/>
  <c r="G178" i="53" s="1"/>
  <c r="G177" i="53" s="1"/>
  <c r="G216" i="53"/>
  <c r="G122" i="53"/>
  <c r="G137" i="53"/>
  <c r="G136" i="53" s="1"/>
  <c r="G135" i="53" s="1"/>
  <c r="D23" i="84"/>
  <c r="H21" i="103"/>
  <c r="H20" i="103" s="1"/>
  <c r="H19" i="103" s="1"/>
  <c r="H18" i="103" s="1"/>
  <c r="F181" i="52"/>
  <c r="G21" i="103"/>
  <c r="G20" i="103" s="1"/>
  <c r="G19" i="103" s="1"/>
  <c r="G18" i="103" s="1"/>
  <c r="F86" i="52"/>
  <c r="G266" i="53"/>
  <c r="G200" i="53"/>
  <c r="G199" i="53" s="1"/>
  <c r="F421" i="52"/>
  <c r="G104" i="53"/>
  <c r="G103" i="53" s="1"/>
  <c r="G98" i="53" s="1"/>
  <c r="G97" i="53" s="1"/>
  <c r="G96" i="53" s="1"/>
  <c r="E23" i="84"/>
  <c r="C47" i="84"/>
  <c r="C46" i="84" s="1"/>
  <c r="E47" i="84"/>
  <c r="E46" i="84" s="1"/>
  <c r="G76" i="53"/>
  <c r="G71" i="53" s="1"/>
  <c r="G70" i="53" s="1"/>
  <c r="G69" i="53" s="1"/>
  <c r="G68" i="53" s="1"/>
  <c r="G67" i="53" s="1"/>
  <c r="G376" i="53"/>
  <c r="G375" i="53" s="1"/>
  <c r="G374" i="53" s="1"/>
  <c r="G212" i="53"/>
  <c r="G211" i="53" s="1"/>
  <c r="G210" i="53" s="1"/>
  <c r="G318" i="53"/>
  <c r="G317" i="53" s="1"/>
  <c r="G316" i="53" s="1"/>
  <c r="G232" i="53"/>
  <c r="G231" i="53" s="1"/>
  <c r="G336" i="53"/>
  <c r="G335" i="53" s="1"/>
  <c r="G334" i="53" s="1"/>
  <c r="G393" i="53"/>
  <c r="G392" i="53" s="1"/>
  <c r="G391" i="53" s="1"/>
  <c r="G101" i="53"/>
  <c r="G384" i="53"/>
  <c r="G383" i="53" s="1"/>
  <c r="G253" i="53"/>
  <c r="G252" i="53" s="1"/>
  <c r="G251" i="53" s="1"/>
  <c r="G250" i="53" s="1"/>
  <c r="G414" i="53"/>
  <c r="G413" i="53" s="1"/>
  <c r="G412" i="53" s="1"/>
  <c r="G192" i="53"/>
  <c r="G117" i="53"/>
  <c r="G116" i="53" s="1"/>
  <c r="G221" i="53"/>
  <c r="G220" i="53" s="1"/>
  <c r="G219" i="53" s="1"/>
  <c r="G351" i="53"/>
  <c r="G229" i="53"/>
  <c r="F391" i="52"/>
  <c r="F406" i="52"/>
  <c r="F375" i="52"/>
  <c r="F295" i="52"/>
  <c r="F36" i="52"/>
  <c r="F35" i="52" s="1"/>
  <c r="F167" i="52"/>
  <c r="F166" i="52" s="1"/>
  <c r="F138" i="52"/>
  <c r="F248" i="52"/>
  <c r="F215" i="52"/>
  <c r="F214" i="52" s="1"/>
  <c r="F348" i="52"/>
  <c r="F367" i="52"/>
  <c r="F368" i="52"/>
  <c r="F383" i="52"/>
  <c r="F382" i="52"/>
  <c r="F96" i="52"/>
  <c r="F95" i="52" s="1"/>
  <c r="F94" i="52" s="1"/>
  <c r="F263" i="52"/>
  <c r="F262" i="52" s="1"/>
  <c r="F261" i="52" s="1"/>
  <c r="F127" i="52"/>
  <c r="F126" i="52" s="1"/>
  <c r="F125" i="52" s="1"/>
  <c r="F124" i="52" s="1"/>
  <c r="F48" i="52"/>
  <c r="F162" i="52"/>
  <c r="F161" i="52" s="1"/>
  <c r="F121" i="52"/>
  <c r="F120" i="52" s="1"/>
  <c r="F54" i="52"/>
  <c r="F73" i="52"/>
  <c r="F72" i="52" s="1"/>
  <c r="F205" i="52"/>
  <c r="F204" i="52" s="1"/>
  <c r="F281" i="52"/>
  <c r="F274" i="52" s="1"/>
  <c r="F298" i="52"/>
  <c r="F321" i="52"/>
  <c r="F320" i="52" s="1"/>
  <c r="F319" i="52" s="1"/>
  <c r="F318" i="52" s="1"/>
  <c r="F180" i="52"/>
  <c r="F32" i="52"/>
  <c r="F25" i="52"/>
  <c r="F24" i="52" s="1"/>
  <c r="F23" i="52" s="1"/>
  <c r="F82" i="52"/>
  <c r="G397" i="53"/>
  <c r="G396" i="53"/>
  <c r="G286" i="53"/>
  <c r="G27" i="53"/>
  <c r="G26" i="53" s="1"/>
  <c r="G25" i="53" s="1"/>
  <c r="G24" i="53" s="1"/>
  <c r="G23" i="53" s="1"/>
  <c r="G90" i="53"/>
  <c r="G89" i="53" s="1"/>
  <c r="G88" i="53" s="1"/>
  <c r="G87" i="53" s="1"/>
  <c r="G86" i="53" s="1"/>
  <c r="G85" i="53" s="1"/>
  <c r="C71" i="84"/>
  <c r="D47" i="84"/>
  <c r="G258" i="53"/>
  <c r="G257" i="53" s="1"/>
  <c r="F335" i="52" l="1"/>
  <c r="F334" i="52" s="1"/>
  <c r="F333" i="52" s="1"/>
  <c r="G176" i="53"/>
  <c r="G134" i="53" s="1"/>
  <c r="G127" i="53" s="1"/>
  <c r="G373" i="53"/>
  <c r="G372" i="53" s="1"/>
  <c r="G371" i="53" s="1"/>
  <c r="G315" i="53"/>
  <c r="G314" i="53" s="1"/>
  <c r="G313" i="53" s="1"/>
  <c r="G198" i="53"/>
  <c r="D46" i="84"/>
  <c r="D71" i="84" s="1"/>
  <c r="F22" i="52"/>
  <c r="E71" i="84"/>
  <c r="G256" i="53"/>
  <c r="G22" i="53"/>
  <c r="F137" i="52"/>
  <c r="F136" i="52" s="1"/>
  <c r="F273" i="52"/>
  <c r="F272" i="52" s="1"/>
  <c r="F260" i="52" s="1"/>
  <c r="G115" i="53"/>
  <c r="G114" i="53"/>
  <c r="G113" i="53" s="1"/>
  <c r="G95" i="53" s="1"/>
  <c r="F259" i="52" l="1"/>
  <c r="F21" i="52"/>
  <c r="G197" i="53"/>
  <c r="G21" i="53" s="1"/>
  <c r="G20" i="53" s="1"/>
  <c r="F20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adm-zakaz</author>
  </authors>
  <commentList>
    <comment ref="B6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название в 65н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adm-zakaz</author>
  </authors>
  <commentList>
    <comment ref="C26" authorId="0" shapeId="0" xr:uid="{DB77E0B4-825F-428E-803E-EAEEA7E96376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sharedStrings.xml><?xml version="1.0" encoding="utf-8"?>
<sst xmlns="http://schemas.openxmlformats.org/spreadsheetml/2006/main" count="3100" uniqueCount="534">
  <si>
    <t>Наименование</t>
  </si>
  <si>
    <t>ВСЕГО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</si>
  <si>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</si>
  <si>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</si>
  <si>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</si>
  <si>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</si>
  <si>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</si>
  <si>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</si>
  <si>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</si>
  <si>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014</t>
  </si>
  <si>
    <t>Никольского городского поселения</t>
  </si>
  <si>
    <t>Администрация Никольского городского поселения Тосненского района Ленинградской области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</si>
  <si>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</si>
  <si>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</si>
  <si>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</si>
  <si>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</si>
  <si>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</si>
  <si>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</si>
  <si>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</si>
  <si>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</si>
  <si>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</si>
  <si>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</si>
  <si>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</si>
  <si>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</si>
  <si>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</si>
  <si>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Сумма (тысяч рублей)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</si>
  <si>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</si>
  <si>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</si>
  <si>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</si>
  <si>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</si>
  <si>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</si>
  <si>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</si>
  <si>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</si>
  <si>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</si>
  <si>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 xml:space="preserve">Расходы на обеспечение деятельности муниципальных казенных учреждений </t>
  </si>
  <si>
    <t>04 1 01 00160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</si>
  <si>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</si>
  <si>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</si>
  <si>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</si>
  <si>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</si>
  <si>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</si>
  <si>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</si>
  <si>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</si>
  <si>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</si>
  <si>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</si>
  <si>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</si>
  <si>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</si>
  <si>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</si>
  <si>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</si>
  <si>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</si>
  <si>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</si>
  <si>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Другие вопросы в области национальной экономики</t>
  </si>
  <si>
    <t>04</t>
  </si>
  <si>
    <t>12</t>
  </si>
  <si>
    <t>06 0 00 00000</t>
  </si>
  <si>
    <t xml:space="preserve"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  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</si>
  <si>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</si>
  <si>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</si>
  <si>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</si>
  <si>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</si>
  <si>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</si>
  <si>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</si>
  <si>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</si>
  <si>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</si>
  <si>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</si>
  <si>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</si>
  <si>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</si>
  <si>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</si>
  <si>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</si>
  <si>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</si>
  <si>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</si>
  <si>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</si>
  <si>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</si>
  <si>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Подпрограмма "Молодежь Никольского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</si>
  <si>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</si>
  <si>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</si>
  <si>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</si>
  <si>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отдыха и оздоровления детей и подростков </t>
  </si>
  <si>
    <t>07 1 01 12290</t>
  </si>
  <si>
    <t>Молодежная политика и оздоровление детей</t>
  </si>
  <si>
    <t>07</t>
  </si>
  <si>
    <t>Основное мероприятия "Организация и проведение молодежных массовых мероприятий"</t>
  </si>
  <si>
    <t>07 1 02 00000</t>
  </si>
  <si>
    <t xml:space="preserve">Мероприятия в сфере молодежной политики </t>
  </si>
  <si>
    <t>07 1 02 11680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</si>
  <si>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</si>
  <si>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07 2 00 00000</t>
  </si>
  <si>
    <t>Основное мероприятие "Развитие культуры на территории поселения"</t>
  </si>
  <si>
    <t>07 2 01 00000</t>
  </si>
  <si>
    <t>07 2 01 00160</t>
  </si>
  <si>
    <t>Культура</t>
  </si>
  <si>
    <t>08</t>
  </si>
  <si>
    <t>07 2 01 S0360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</si>
  <si>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</si>
  <si>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</si>
  <si>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</si>
  <si>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</si>
  <si>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</si>
  <si>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</si>
  <si>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</si>
  <si>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</si>
  <si>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</si>
  <si>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08 1 00 00000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</si>
  <si>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</si>
  <si>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</si>
  <si>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</si>
  <si>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08 0 01 11570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</si>
  <si>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</si>
  <si>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</si>
  <si>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Основное мероприятия "Обеспечения пожарной безопасности" </t>
  </si>
  <si>
    <t>08 1 02 00000</t>
  </si>
  <si>
    <t xml:space="preserve">Мероприятия в области пожарной безопасности  </t>
  </si>
  <si>
    <t>08 1 02 11620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</si>
  <si>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</si>
  <si>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</si>
  <si>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</si>
  <si>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</si>
  <si>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</si>
  <si>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</si>
  <si>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</si>
  <si>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</si>
  <si>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</si>
  <si>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</si>
  <si>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</si>
  <si>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</si>
  <si>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</si>
  <si>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1 01 S0140</t>
  </si>
  <si>
    <t xml:space="preserve">Капитальный ремонт и ремонт автомобильных дорог общего пользования местного значения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</si>
  <si>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</si>
  <si>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</si>
  <si>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</si>
  <si>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</si>
  <si>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</si>
  <si>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</si>
  <si>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</si>
  <si>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>Основное мероприятия "Организация газоснабжения"</t>
  </si>
  <si>
    <t>11 0 01 00000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</si>
  <si>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</si>
  <si>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</si>
  <si>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</si>
  <si>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</si>
  <si>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</si>
  <si>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</si>
  <si>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</si>
  <si>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</si>
  <si>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11 0 01 13200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</si>
  <si>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</si>
  <si>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</si>
  <si>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</si>
  <si>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</si>
  <si>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</si>
  <si>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12 0 01 13280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</si>
  <si>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</si>
  <si>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</si>
  <si>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</si>
  <si>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Основное мероприятия "Реализации энергосберегающих мероприятий в муниципальных образованиях"</t>
  </si>
  <si>
    <t>14 0 01 00000</t>
  </si>
  <si>
    <t>Мероприятия по повышению надежности и энергетической эффективности</t>
  </si>
  <si>
    <t>14 0 01 13180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</si>
  <si>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</si>
  <si>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</si>
  <si>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</si>
  <si>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</si>
  <si>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</si>
  <si>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</si>
  <si>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</si>
  <si>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</si>
  <si>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</si>
  <si>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</si>
  <si>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</si>
  <si>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</si>
  <si>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</si>
  <si>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</si>
  <si>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</si>
  <si>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</si>
  <si>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</si>
  <si>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</si>
  <si>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</si>
  <si>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</si>
  <si>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</si>
  <si>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</si>
  <si>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</si>
  <si>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</si>
  <si>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</si>
  <si>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</si>
  <si>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</si>
  <si>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</si>
  <si>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</si>
  <si>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</si>
  <si>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</si>
  <si>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</si>
  <si>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</si>
  <si>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</si>
  <si>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</si>
  <si>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</si>
  <si>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</si>
  <si>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</si>
  <si>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</si>
  <si>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</si>
  <si>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</si>
  <si>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</si>
  <si>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</si>
  <si>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</si>
  <si>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</si>
  <si>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</si>
  <si>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</si>
  <si>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</si>
  <si>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</si>
  <si>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</si>
  <si>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</si>
  <si>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</si>
  <si>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</si>
  <si>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</si>
  <si>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</si>
  <si>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</si>
  <si>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</si>
  <si>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</si>
  <si>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</si>
  <si>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</si>
  <si>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</si>
  <si>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</si>
  <si>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</si>
  <si>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</si>
  <si>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</si>
  <si>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</si>
  <si>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</si>
  <si>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</si>
  <si>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</si>
  <si>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</si>
  <si>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</si>
  <si>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</si>
  <si>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</si>
  <si>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</si>
  <si>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</si>
  <si>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</si>
  <si>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</si>
  <si>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</si>
  <si>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</si>
  <si>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</si>
  <si>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</si>
  <si>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Мероприятия по развитию общественной инфраструктуры муниципального значения</t>
  </si>
  <si>
    <t>99 9 01 72020</t>
  </si>
  <si>
    <t xml:space="preserve">ПР </t>
  </si>
  <si>
    <t>Общегосударственные вопросы</t>
  </si>
  <si>
    <t xml:space="preserve">91 3 01 00040 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</si>
  <si>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</si>
  <si>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</si>
  <si>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>Межбюджетные трансферты</t>
  </si>
  <si>
    <t xml:space="preserve">91 3 01 60600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</si>
  <si>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</si>
  <si>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</si>
  <si>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Национальная оборона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</si>
  <si>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</si>
  <si>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</si>
  <si>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</si>
  <si>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</si>
  <si>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</si>
  <si>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</si>
  <si>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Национальная экономика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</si>
  <si>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</si>
  <si>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Жилищно-коммунальное хозяйство</t>
  </si>
  <si>
    <t xml:space="preserve">Обеспечение мероприятий по капитальному ремонту многоквартирных домов 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</si>
  <si>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</si>
  <si>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400</t>
  </si>
  <si>
    <t>410</t>
  </si>
  <si>
    <t>Капитальные вложения в объекты государственной (муниципальной)собственности</t>
  </si>
  <si>
    <t>бюджетные инвестиции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</si>
  <si>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</si>
  <si>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</si>
  <si>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Образование</t>
  </si>
  <si>
    <t>Культура и кинематография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</si>
  <si>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</si>
  <si>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</si>
  <si>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110</t>
  </si>
  <si>
    <t>Подпрограмма «Обеспечение условий реализации программы Никольского городского поселения Тосненского района Ленинграсдкой области»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</si>
  <si>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</si>
  <si>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</si>
  <si>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800                                                          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</si>
  <si>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</si>
  <si>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>Средства массовой информации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</si>
  <si>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</si>
  <si>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код гл. расп.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</si>
  <si>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</si>
  <si>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</si>
  <si>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Субсидии на мероприятия по строительству и реконструкции объектов водоснабжения, водоотведения и очистки сточных вод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</si>
  <si>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</si>
  <si>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</si>
  <si>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</si>
  <si>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</si>
  <si>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</si>
  <si>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</si>
  <si>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</si>
  <si>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</si>
  <si>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</si>
  <si>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</si>
  <si>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</si>
  <si>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042</t>
  </si>
  <si>
    <t>Совет депутатов Никольского городского поселения Тосненского района Ленинградской области</t>
  </si>
  <si>
    <t>2021 год</t>
  </si>
  <si>
    <t>99 9 01 12040</t>
  </si>
  <si>
    <t>Обеспечение проведения выборов и референдумов</t>
  </si>
  <si>
    <t>06 1 01 S0740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</si>
  <si>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</si>
  <si>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</si>
  <si>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</si>
  <si>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</si>
  <si>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</si>
  <si>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</si>
  <si>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</si>
  <si>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</si>
  <si>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</si>
  <si>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</si>
  <si>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</si>
  <si>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>Муниципальная программа "Обеспечение качественным жильем граждан на территории Никольского городского поселения Тосненского района Ленинградской области на 2018-2020 годы"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</si>
  <si>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</si>
  <si>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</si>
  <si>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</si>
  <si>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031</t>
  </si>
  <si>
    <t>880</t>
  </si>
  <si>
    <t>Специальные расходы</t>
  </si>
  <si>
    <t>Обеспечение проведения выборов и референдумов в поселении Тосненского района Ленинградской области</t>
  </si>
  <si>
    <t>Непрограммные расходы органов исполнительной власти муниципального образования поселения Тосненского района Ленинградской области</t>
  </si>
  <si>
    <t xml:space="preserve">Обеспечение проведения выборов и референдумов в поселении Тосненского района Ленинградской области </t>
  </si>
  <si>
    <t>ТЕРРИТОРИАЛЬНАЯ ИЗБИРАТЕЛЬНАЯ КОМИССИЯ ТОСНЕНСКОГО МУНИЦИПАЛЬНОГО РАЙОНА ЛЕНИНГРАДСКОЙ ОБЛАСТИ</t>
  </si>
  <si>
    <t xml:space="preserve">11 </t>
  </si>
  <si>
    <t>04 2 00 00000</t>
  </si>
  <si>
    <t>04 2 01 00000</t>
  </si>
  <si>
    <t>04 2 01 04050</t>
  </si>
  <si>
    <t>04 2 01 S4050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</si>
  <si>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</si>
  <si>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</si>
  <si>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</si>
  <si>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</si>
  <si>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</si>
  <si>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</si>
  <si>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</si>
  <si>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</si>
  <si>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</si>
  <si>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11 0 01 S0200</t>
  </si>
  <si>
    <t>27 0 F2 55550</t>
  </si>
  <si>
    <t>27 0 F2 00000</t>
  </si>
  <si>
    <t xml:space="preserve">27 0 F2 00000 </t>
  </si>
  <si>
    <t>99 9 01 11570</t>
  </si>
  <si>
    <t>2022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</si>
  <si>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</si>
  <si>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</si>
  <si>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Подпрограмма "Софинансирование мероприятий подпрограммы «Обеспечение жильем молодых семей» государственной программы Ленинградской области «Обеспечение доступным и комфортным жильем и коммунальными услугами граждан Российской Федерации» на 2020 – 2022 годы»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</si>
  <si>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</si>
  <si>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07 2 01 S2020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</si>
  <si>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</si>
  <si>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</si>
  <si>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</si>
  <si>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</si>
  <si>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</si>
  <si>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</si>
  <si>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</si>
  <si>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</si>
  <si>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 xml:space="preserve">Мероприятия по предоставлению социальных выплат молодым семьям, в том числе многодетным семьям, нуждающимся в улучшении жилищных условий </t>
  </si>
  <si>
    <t>07 2 01 S4840</t>
  </si>
  <si>
    <t>12 0 01 S4840</t>
  </si>
  <si>
    <t>ПРОГНОЗИРУЕМЫЕ</t>
  </si>
  <si>
    <t xml:space="preserve">поступления налоговых, неналоговых доходов и безвозмездных поступлений </t>
  </si>
  <si>
    <t>в бюджет Никольского городского поселения Тосненского района Ленинградской области</t>
  </si>
  <si>
    <t>Код бюджетной классификации</t>
  </si>
  <si>
    <t>Источники доходов</t>
  </si>
  <si>
    <t>Сумма (тысяч 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</si>
  <si>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</si>
  <si>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</si>
  <si>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</si>
  <si>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</si>
  <si>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</si>
  <si>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</si>
  <si>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</si>
  <si>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</si>
  <si>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</si>
  <si>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</si>
  <si>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</si>
  <si>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</si>
  <si>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</si>
  <si>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</si>
  <si>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</si>
  <si>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</si>
  <si>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</si>
  <si>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</si>
  <si>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</si>
  <si>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</si>
  <si>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</si>
  <si>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</si>
  <si>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</si>
  <si>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</si>
  <si>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</si>
  <si>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</si>
  <si>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</si>
  <si>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</si>
  <si>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</si>
  <si>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   ОТ    ОКАЗАНИЯ    ПЛАТНЫХ    УСЛУГ (РАБОТ)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</si>
  <si>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</si>
  <si>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</si>
  <si>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</si>
  <si>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</si>
  <si>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</si>
  <si>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</si>
  <si>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</si>
  <si>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</si>
  <si>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1 14 06025 13 0000 430
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</si>
  <si>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</si>
  <si>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</si>
  <si>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</si>
  <si>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</si>
  <si>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</si>
  <si>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</si>
  <si>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</si>
  <si>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
</t>
  </si>
  <si>
    <t>Дотации бюджетам бюджетной системы Российской Федерации</t>
  </si>
  <si>
    <t>2 02 19999 13 0000 150</t>
  </si>
  <si>
    <t>Дотации бюджетам муниципальных образований Ленинградской области на поощрение достижения наилучших показателей оценки качества управления муниципальными финансами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</si>
  <si>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</si>
  <si>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</si>
  <si>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2 02 20077 13 0000 150 </t>
  </si>
  <si>
    <t>Субсидии бюджетам городских поселений на софинансирование капитальных вложений в объекты муниципальной собственности (мероприятия по реконструкции стадиона г. Никольское)</t>
  </si>
  <si>
    <t xml:space="preserve">2 02 20216 13 0000 150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</si>
  <si>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</si>
  <si>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>2 02 25555 13 0000 150</t>
  </si>
  <si>
    <t>Субсидии бюджетам городских поселений на поддержку государственных
программ субъектов Российской Федерации и муниципальных программ
формирования современной городской среды</t>
  </si>
  <si>
    <t>2 02 29999 13 0000 150</t>
  </si>
  <si>
    <t>2 02 30000 00 0000 150</t>
  </si>
  <si>
    <t>Субвенции бюджетам бюджетной системы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</si>
  <si>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</si>
  <si>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</si>
  <si>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2 02 30024 13 0000 150</t>
  </si>
  <si>
    <t>Субвенция бюджетам городских поселений на выполнение передаваемых полномочий субъектов РФ (осуществление отдельных государственных полномочий Ленинградской области в сфере профилактики безнадзорности и правонарушений несовершеннолетних)</t>
  </si>
  <si>
    <t xml:space="preserve">Субвенция бюджетам городских поселений на выполнение передаваемых полномочий субъектов РФ (на осуществление отдельных государственных полномочий Ленинградской области в сфере административных правоотношений) </t>
  </si>
  <si>
    <t>2 02 25497 13 0000 150</t>
  </si>
  <si>
    <t>99 9 01 60670</t>
  </si>
  <si>
    <t>06 1 01 L4970</t>
  </si>
  <si>
    <t>Охрана семьи и детства</t>
  </si>
  <si>
    <t>25 0 00 0000</t>
  </si>
  <si>
    <t>25 0 01 0000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</si>
  <si>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</si>
  <si>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</si>
  <si>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>Мероприятие по борьбе с борщевиком Сосновского на территории Никольского городского поселения Тосненского района Ленинградской области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</si>
  <si>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</si>
  <si>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</si>
  <si>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</si>
  <si>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 xml:space="preserve">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</t>
  </si>
  <si>
    <t>19 0 01 0000</t>
  </si>
  <si>
    <t>19 0 01 13320</t>
  </si>
  <si>
    <t>99 9 01 13530</t>
  </si>
  <si>
    <t>Сельское хозяйство и рыболовство</t>
  </si>
  <si>
    <t xml:space="preserve">04 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</si>
  <si>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</si>
  <si>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</si>
  <si>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>Прочие субсидии бюджетам городских поселений  (поддержка развития общественной инфраструктуры муниципального значения)</t>
  </si>
  <si>
    <t>2 02 16001 13 0000 150</t>
  </si>
  <si>
    <t>Социальная политика</t>
  </si>
  <si>
    <t>Приложение №7</t>
  </si>
  <si>
    <t xml:space="preserve">Дотации бюджетам городских поселений на выравнивание бюджетной обеспеченности из бюджетов муниципальных районов
</t>
  </si>
  <si>
    <t>на 2021 год и на плановый период 2022 и 2023 годов</t>
  </si>
  <si>
    <t>2023 год</t>
  </si>
  <si>
    <t>Код</t>
  </si>
  <si>
    <t>Сумма   (тысяч рублей)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</si>
  <si>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2021 год </t>
  </si>
  <si>
    <t>Ведомственная структура расходов бюджета Никольского городского поселения Тосненского района Ленинградской области на 2021 год</t>
  </si>
  <si>
    <t xml:space="preserve">Источники формирования дорожного фонда </t>
  </si>
  <si>
    <t>Никольского городского поселения Тосненского района Ленинградской области</t>
  </si>
  <si>
    <t>100 10302000010000110</t>
  </si>
  <si>
    <t>014 20220216000000151</t>
  </si>
  <si>
    <t>Итого</t>
  </si>
  <si>
    <t xml:space="preserve">Приложение №13                                      </t>
  </si>
  <si>
    <t>Распределение бюджетных ассигнований дорожного фонда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2021 год и на плановый период 2022 и 2023 годов</t>
  </si>
  <si>
    <t xml:space="preserve">Приложение №2                            </t>
  </si>
  <si>
    <t xml:space="preserve">Приложение №5                                  </t>
  </si>
  <si>
    <t>25 0 01 S4310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</si>
  <si>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</si>
  <si>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17 0 00 00000</t>
  </si>
  <si>
    <t xml:space="preserve">Основное мероприятие "Проведение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учет" </t>
  </si>
  <si>
    <t>17 0 01 00000</t>
  </si>
  <si>
    <t>17 0 01 S7350</t>
  </si>
  <si>
    <t>Обеспечение мероприятий по землеустройству и землепользованию</t>
  </si>
  <si>
    <r>
      <t>Муниципальная программа</t>
    </r>
    <r>
      <rPr>
        <sz val="10"/>
        <rFont val="Times New Roman"/>
        <family val="1"/>
        <charset val="204"/>
      </rPr>
      <t>"</t>
    </r>
    <r>
      <rPr>
        <b/>
        <sz val="10"/>
        <rFont val="Times New Roman"/>
        <family val="1"/>
        <charset val="204"/>
      </rPr>
      <t xml:space="preserve"> Управление муниципальной собственностью и земельными ресурсами Никольского городского поселения Тосненского района Ленинградской области"</t>
    </r>
  </si>
  <si>
    <t>Муниципальная программа" Управление муниципальной собственностью и земельными ресурсами Никольского городского поселения Тосненского района Ленинградской области"</t>
  </si>
  <si>
    <t xml:space="preserve">Капитальный ремонт и ремонт автомобильных дорог общего пользования местного значения                                                                                                                                               </t>
  </si>
  <si>
    <t xml:space="preserve"> Выполнение работ по санитарному содержанию территорий Никольского городского поселения Тосненского района Ленинградской области</t>
  </si>
  <si>
    <t>Мероприятия по содержанию автомобильных дорог</t>
  </si>
  <si>
    <t>Прочие субсидии бюджетам городских поселений и (субсидии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РФ от 07.05.2012 № 597 "О мероприятиях по реализации государственной социальной политике")</t>
  </si>
  <si>
    <t>Прочие субсидии бюджетам городских поселений  (субсидии бюджетам муниципальных образований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области)</t>
  </si>
  <si>
    <t xml:space="preserve">к решению совета депутатов             </t>
  </si>
  <si>
    <t>от 24.12.2020 № 52</t>
  </si>
  <si>
    <t>от  24.12.2020 № 52</t>
  </si>
  <si>
    <t xml:space="preserve">к  решению  совета депутатов             </t>
  </si>
  <si>
    <t>Выполнение работ по восстановлению поперечного профиля и ровности щебеночного покрытия дорог по адресу: Ленинградская область, Тосненский район, г.Никольское: ул. Полевая, ул. Песчаная</t>
  </si>
  <si>
    <t>Субсидии бюджетам городских поселений на реализацию мероприятий по обеспечению жильем молодых семей</t>
  </si>
  <si>
    <t>10 1 01 S4200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</si>
  <si>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</si>
  <si>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Выполнение работ по ремонту асфальтобетонного покрытия участка автомобильной дороги по адресу: Ленинградская область, Тосненский район, г. Никольское, Советский пр. (участок от перекрестка автодорог «Ульяновка-Отрадное» и «Подъезд к пос. Гладкое» до д.62 по Советскому пр.)</t>
  </si>
  <si>
    <t xml:space="preserve">2 02 45393 13 0000 150 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</si>
  <si>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</si>
  <si>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10 1 R 153930</t>
  </si>
  <si>
    <t>10 1 R 100000</t>
  </si>
  <si>
    <t>Федеральный проект "Безопасные и качественные автомобильные дороги"</t>
  </si>
  <si>
    <t xml:space="preserve">Ремонт асфальтобетонного покрытия участка автомобильной дороги по адресу: Ленинградская область, Тосненский район, г. Никольское, Советский пр. (участок от перекрестка автодорог «Ульяновка-Отрадное» и «Подъезд к пос. Гладкое» до д.53 по Советскому пр.)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</si>
  <si>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</si>
  <si>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>2 02 40000 00 0000 150</t>
  </si>
  <si>
    <t>Субсидии бюджетам городских поселений на софинансирование капитальных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образований)</t>
  </si>
  <si>
    <t>Прочие субсидии бюджетам городских поселений (субсидии бюджетам городских поселений на проведение комплексных кадастровых работ )</t>
  </si>
  <si>
    <t>12 0 01 S4960</t>
  </si>
  <si>
    <t>Мероприятия по оснащению мест (площадок) накопления твердых коммунальных отходов ёмкостями для накопления твердых коммунальных отходов</t>
  </si>
  <si>
    <t>2 02 25269 13 0000 150</t>
  </si>
  <si>
    <t xml:space="preserve">2 02 49999 13 0000 150 </t>
  </si>
  <si>
    <t>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</t>
  </si>
  <si>
    <t>1 16 00000 00 0000 000</t>
  </si>
  <si>
    <t xml:space="preserve"> 1 16 07010 13 0000 140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</si>
  <si>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</si>
  <si>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</si>
  <si>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Субсидии бюджетам городских поселений на закупку контейнеров для раздельного накопления твердых коммунальных отходов</t>
  </si>
  <si>
    <t xml:space="preserve">Приложение №11                                      </t>
  </si>
  <si>
    <t>на 2021 год</t>
  </si>
  <si>
    <t>Остаток средств дорожного фонда на 01.01.2021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</si>
  <si>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</si>
  <si>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014 2 02 45393 13 0000 150 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</si>
  <si>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</si>
  <si>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99 9 01 55490</t>
  </si>
  <si>
    <t>19 0 G2 52690</t>
  </si>
  <si>
    <t>19 0 00 00000</t>
  </si>
  <si>
    <t>19 0 02 00000</t>
  </si>
  <si>
    <t xml:space="preserve">Приложение №1                           </t>
  </si>
  <si>
    <t xml:space="preserve">Приложение №2                              </t>
  </si>
  <si>
    <t>Приложение №3</t>
  </si>
  <si>
    <t xml:space="preserve">Приложение №4                      </t>
  </si>
  <si>
    <t xml:space="preserve">к  решению совета депутатов             </t>
  </si>
  <si>
    <t>от 27.12.2021    № 110</t>
  </si>
  <si>
    <t>от 27.12.2021  № 110</t>
  </si>
  <si>
    <t xml:space="preserve">к решению  совета депутатов             </t>
  </si>
  <si>
    <t>от  27.12.2021  №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</si>
</sst>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#,##0.000"/>
    <numFmt numFmtId="167" formatCode="?"/>
    <numFmt numFmtId="168" formatCode="000000"/>
  </numFmts>
  <fonts count="28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7" fillId="0" borderId="0"/>
    <xf numFmtId="0" fontId="2" fillId="0" borderId="0"/>
    <xf numFmtId="0" fontId="2" fillId="0" borderId="0"/>
    <xf numFmtId="0" fontId="3" fillId="0" borderId="0"/>
  </cellStyleXfs>
  <cellXfs count="352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/>
    <xf numFmtId="0" fontId="4" fillId="0" borderId="0" xfId="1" applyFont="1"/>
    <xf numFmtId="166" fontId="4" fillId="0" borderId="0" xfId="1" applyNumberFormat="1" applyFont="1"/>
    <xf numFmtId="0" fontId="4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0" fillId="3" borderId="0" xfId="0" applyFill="1"/>
    <xf numFmtId="0" fontId="4" fillId="0" borderId="0" xfId="5" applyFont="1" applyFill="1"/>
    <xf numFmtId="0" fontId="4" fillId="0" borderId="0" xfId="5" applyFont="1" applyFill="1" applyAlignment="1">
      <alignment horizontal="left"/>
    </xf>
    <xf numFmtId="49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right"/>
    </xf>
    <xf numFmtId="0" fontId="5" fillId="0" borderId="0" xfId="5" applyFont="1" applyFill="1" applyAlignment="1">
      <alignment horizontal="center"/>
    </xf>
    <xf numFmtId="0" fontId="5" fillId="0" borderId="0" xfId="5" applyFont="1" applyFill="1"/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0" xfId="5" applyFont="1" applyFill="1"/>
    <xf numFmtId="49" fontId="7" fillId="0" borderId="1" xfId="5" applyNumberFormat="1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166" fontId="7" fillId="0" borderId="1" xfId="5" applyNumberFormat="1" applyFont="1" applyFill="1" applyBorder="1" applyAlignment="1">
      <alignment horizontal="right" vertical="center"/>
    </xf>
    <xf numFmtId="0" fontId="7" fillId="0" borderId="0" xfId="5" applyFont="1" applyFill="1"/>
    <xf numFmtId="49" fontId="9" fillId="4" borderId="1" xfId="5" applyNumberFormat="1" applyFont="1" applyFill="1" applyBorder="1" applyAlignment="1">
      <alignment horizontal="left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49" fontId="10" fillId="4" borderId="1" xfId="5" applyNumberFormat="1" applyFont="1" applyFill="1" applyBorder="1" applyAlignment="1">
      <alignment horizontal="center" vertical="center" wrapText="1"/>
    </xf>
    <xf numFmtId="166" fontId="9" fillId="4" borderId="1" xfId="5" applyNumberFormat="1" applyFont="1" applyFill="1" applyBorder="1" applyAlignment="1">
      <alignment horizontal="right" vertical="center"/>
    </xf>
    <xf numFmtId="49" fontId="9" fillId="0" borderId="1" xfId="5" applyNumberFormat="1" applyFont="1" applyFill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6" fontId="9" fillId="0" borderId="1" xfId="5" applyNumberFormat="1" applyFont="1" applyFill="1" applyBorder="1" applyAlignment="1">
      <alignment horizontal="right" vertical="center" wrapText="1"/>
    </xf>
    <xf numFmtId="0" fontId="9" fillId="0" borderId="0" xfId="5" applyFont="1" applyFill="1"/>
    <xf numFmtId="166" fontId="7" fillId="0" borderId="1" xfId="5" applyNumberFormat="1" applyFont="1" applyFill="1" applyBorder="1" applyAlignment="1">
      <alignment horizontal="right" vertical="center" wrapText="1"/>
    </xf>
    <xf numFmtId="49" fontId="10" fillId="0" borderId="1" xfId="5" applyNumberFormat="1" applyFont="1" applyFill="1" applyBorder="1" applyAlignment="1">
      <alignment horizontal="left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166" fontId="10" fillId="0" borderId="1" xfId="5" applyNumberFormat="1" applyFont="1" applyFill="1" applyBorder="1" applyAlignment="1">
      <alignment horizontal="right" vertical="center" wrapText="1"/>
    </xf>
    <xf numFmtId="49" fontId="8" fillId="0" borderId="1" xfId="5" applyNumberFormat="1" applyFont="1" applyFill="1" applyBorder="1" applyAlignment="1">
      <alignment horizontal="left" vertical="center" wrapText="1"/>
    </xf>
    <xf numFmtId="166" fontId="8" fillId="0" borderId="1" xfId="5" applyNumberFormat="1" applyFont="1" applyFill="1" applyBorder="1" applyAlignment="1">
      <alignment horizontal="right" vertical="center" wrapText="1"/>
    </xf>
    <xf numFmtId="49" fontId="8" fillId="0" borderId="1" xfId="5" applyNumberFormat="1" applyFont="1" applyFill="1" applyBorder="1" applyAlignment="1">
      <alignment horizontal="left" vertical="center" wrapText="1" indent="2"/>
    </xf>
    <xf numFmtId="166" fontId="7" fillId="0" borderId="0" xfId="5" applyNumberFormat="1" applyFont="1" applyFill="1"/>
    <xf numFmtId="0" fontId="8" fillId="0" borderId="1" xfId="5" applyFont="1" applyFill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left" vertical="center" wrapText="1"/>
    </xf>
    <xf numFmtId="166" fontId="9" fillId="0" borderId="0" xfId="5" applyNumberFormat="1" applyFont="1" applyFill="1"/>
    <xf numFmtId="49" fontId="9" fillId="4" borderId="1" xfId="5" applyNumberFormat="1" applyFont="1" applyFill="1" applyBorder="1" applyAlignment="1">
      <alignment vertical="center" wrapText="1"/>
    </xf>
    <xf numFmtId="49" fontId="9" fillId="4" borderId="1" xfId="2" applyNumberFormat="1" applyFont="1" applyFill="1" applyBorder="1" applyAlignment="1" applyProtection="1">
      <alignment horizontal="center" vertical="center" wrapText="1"/>
    </xf>
    <xf numFmtId="49" fontId="10" fillId="4" borderId="1" xfId="2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166" fontId="9" fillId="4" borderId="1" xfId="5" applyNumberFormat="1" applyFont="1" applyFill="1" applyBorder="1" applyAlignment="1">
      <alignment horizontal="right" vertical="center" wrapText="1"/>
    </xf>
    <xf numFmtId="0" fontId="10" fillId="0" borderId="0" xfId="5" applyFont="1" applyFill="1"/>
    <xf numFmtId="49" fontId="9" fillId="3" borderId="1" xfId="5" applyNumberFormat="1" applyFont="1" applyFill="1" applyBorder="1" applyAlignment="1">
      <alignment horizontal="left" vertical="center" wrapText="1"/>
    </xf>
    <xf numFmtId="49" fontId="9" fillId="3" borderId="1" xfId="5" applyNumberFormat="1" applyFont="1" applyFill="1" applyBorder="1" applyAlignment="1">
      <alignment horizontal="center" vertical="center" wrapText="1"/>
    </xf>
    <xf numFmtId="49" fontId="7" fillId="3" borderId="1" xfId="5" applyNumberFormat="1" applyFont="1" applyFill="1" applyBorder="1" applyAlignment="1">
      <alignment horizontal="left" vertical="center" wrapText="1"/>
    </xf>
    <xf numFmtId="49" fontId="7" fillId="3" borderId="1" xfId="5" applyNumberFormat="1" applyFont="1" applyFill="1" applyBorder="1" applyAlignment="1">
      <alignment horizontal="center" vertical="center" wrapText="1"/>
    </xf>
    <xf numFmtId="49" fontId="10" fillId="3" borderId="1" xfId="5" applyNumberFormat="1" applyFont="1" applyFill="1" applyBorder="1" applyAlignment="1">
      <alignment horizontal="left" vertical="center" wrapText="1"/>
    </xf>
    <xf numFmtId="49" fontId="10" fillId="3" borderId="1" xfId="5" applyNumberFormat="1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left" vertical="center" wrapText="1" indent="2"/>
    </xf>
    <xf numFmtId="166" fontId="8" fillId="0" borderId="0" xfId="5" applyNumberFormat="1" applyFont="1" applyFill="1"/>
    <xf numFmtId="49" fontId="11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166" fontId="10" fillId="0" borderId="0" xfId="5" applyNumberFormat="1" applyFont="1" applyFill="1"/>
    <xf numFmtId="0" fontId="8" fillId="0" borderId="1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10" fillId="2" borderId="1" xfId="5" applyFont="1" applyFill="1" applyBorder="1" applyAlignment="1">
      <alignment horizontal="center"/>
    </xf>
    <xf numFmtId="0" fontId="8" fillId="2" borderId="1" xfId="5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wrapText="1" indent="2"/>
    </xf>
    <xf numFmtId="0" fontId="13" fillId="0" borderId="1" xfId="2" applyFont="1" applyBorder="1" applyAlignment="1">
      <alignment horizontal="left" wrapText="1" indent="2"/>
    </xf>
    <xf numFmtId="166" fontId="8" fillId="0" borderId="1" xfId="5" applyNumberFormat="1" applyFont="1" applyFill="1" applyBorder="1" applyAlignment="1">
      <alignment horizontal="right" vertical="center"/>
    </xf>
    <xf numFmtId="0" fontId="9" fillId="4" borderId="1" xfId="2" applyFont="1" applyFill="1" applyBorder="1" applyAlignment="1">
      <alignment horizontal="left" vertical="center" wrapText="1"/>
    </xf>
    <xf numFmtId="0" fontId="10" fillId="4" borderId="1" xfId="5" applyFont="1" applyFill="1" applyBorder="1" applyAlignment="1">
      <alignment horizont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6" fillId="0" borderId="0" xfId="3" applyFont="1" applyFill="1" applyAlignment="1"/>
    <xf numFmtId="0" fontId="6" fillId="0" borderId="0" xfId="3" applyFont="1" applyFill="1" applyAlignment="1">
      <alignment wrapText="1"/>
    </xf>
    <xf numFmtId="0" fontId="6" fillId="0" borderId="0" xfId="3" applyFont="1" applyAlignment="1"/>
    <xf numFmtId="0" fontId="6" fillId="0" borderId="0" xfId="3" applyFont="1" applyAlignment="1">
      <alignment wrapText="1"/>
    </xf>
    <xf numFmtId="0" fontId="6" fillId="0" borderId="0" xfId="0" applyFont="1" applyFill="1"/>
    <xf numFmtId="0" fontId="6" fillId="0" borderId="0" xfId="0" applyFont="1"/>
    <xf numFmtId="0" fontId="6" fillId="0" borderId="0" xfId="3" applyFont="1"/>
    <xf numFmtId="0" fontId="6" fillId="3" borderId="0" xfId="3" applyFont="1" applyFill="1" applyAlignment="1">
      <alignment wrapText="1"/>
    </xf>
    <xf numFmtId="0" fontId="4" fillId="0" borderId="0" xfId="1" applyFont="1" applyFill="1"/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166" fontId="11" fillId="4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49" fontId="7" fillId="3" borderId="3" xfId="5" applyNumberFormat="1" applyFont="1" applyFill="1" applyBorder="1" applyAlignment="1">
      <alignment horizontal="center" vertical="center" wrapText="1"/>
    </xf>
    <xf numFmtId="166" fontId="11" fillId="0" borderId="3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 wrapText="1"/>
    </xf>
    <xf numFmtId="168" fontId="8" fillId="0" borderId="1" xfId="5" applyNumberFormat="1" applyFont="1" applyFill="1" applyBorder="1" applyAlignment="1">
      <alignment horizontal="left" vertical="center" wrapText="1"/>
    </xf>
    <xf numFmtId="168" fontId="8" fillId="0" borderId="1" xfId="5" applyNumberFormat="1" applyFont="1" applyFill="1" applyBorder="1" applyAlignment="1">
      <alignment horizontal="left" vertical="center" wrapText="1" indent="2"/>
    </xf>
    <xf numFmtId="168" fontId="8" fillId="3" borderId="1" xfId="5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168" fontId="8" fillId="3" borderId="1" xfId="5" applyNumberFormat="1" applyFont="1" applyFill="1" applyBorder="1" applyAlignment="1">
      <alignment horizontal="left" vertical="center" wrapText="1" indent="2"/>
    </xf>
    <xf numFmtId="0" fontId="7" fillId="4" borderId="1" xfId="1" applyFont="1" applyFill="1" applyBorder="1"/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/>
    <xf numFmtId="166" fontId="7" fillId="4" borderId="1" xfId="1" applyNumberFormat="1" applyFont="1" applyFill="1" applyBorder="1" applyAlignment="1"/>
    <xf numFmtId="166" fontId="7" fillId="0" borderId="1" xfId="5" applyNumberFormat="1" applyFont="1" applyFill="1" applyBorder="1" applyAlignment="1">
      <alignment vertical="center" wrapText="1"/>
    </xf>
    <xf numFmtId="166" fontId="9" fillId="0" borderId="1" xfId="5" applyNumberFormat="1" applyFont="1" applyFill="1" applyBorder="1" applyAlignment="1">
      <alignment vertical="center" wrapText="1"/>
    </xf>
    <xf numFmtId="166" fontId="10" fillId="0" borderId="1" xfId="5" applyNumberFormat="1" applyFont="1" applyFill="1" applyBorder="1" applyAlignment="1">
      <alignment vertical="center" wrapText="1"/>
    </xf>
    <xf numFmtId="166" fontId="8" fillId="0" borderId="1" xfId="5" applyNumberFormat="1" applyFont="1" applyFill="1" applyBorder="1" applyAlignment="1">
      <alignment vertical="center" wrapText="1"/>
    </xf>
    <xf numFmtId="0" fontId="8" fillId="0" borderId="1" xfId="5" applyFont="1" applyFill="1" applyBorder="1" applyAlignment="1">
      <alignment horizontal="left" vertical="top" wrapText="1"/>
    </xf>
    <xf numFmtId="166" fontId="8" fillId="0" borderId="1" xfId="5" applyNumberFormat="1" applyFont="1" applyFill="1" applyBorder="1" applyAlignment="1">
      <alignment vertical="center"/>
    </xf>
    <xf numFmtId="166" fontId="9" fillId="0" borderId="1" xfId="5" applyNumberFormat="1" applyFont="1" applyFill="1" applyBorder="1" applyAlignment="1">
      <alignment vertical="center"/>
    </xf>
    <xf numFmtId="166" fontId="10" fillId="0" borderId="1" xfId="5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wrapText="1" indent="2"/>
    </xf>
    <xf numFmtId="0" fontId="11" fillId="0" borderId="1" xfId="2" applyFont="1" applyFill="1" applyBorder="1" applyAlignment="1">
      <alignment horizontal="left" vertical="center" wrapText="1"/>
    </xf>
    <xf numFmtId="0" fontId="6" fillId="0" borderId="0" xfId="3" applyFont="1" applyFill="1"/>
    <xf numFmtId="0" fontId="15" fillId="0" borderId="0" xfId="5" applyFont="1" applyFill="1"/>
    <xf numFmtId="0" fontId="12" fillId="0" borderId="1" xfId="2" applyFont="1" applyFill="1" applyBorder="1" applyAlignment="1">
      <alignment horizontal="left" vertical="center" wrapText="1"/>
    </xf>
    <xf numFmtId="49" fontId="10" fillId="0" borderId="3" xfId="5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9" fillId="0" borderId="1" xfId="2" applyNumberFormat="1" applyFont="1" applyFill="1" applyBorder="1" applyAlignment="1">
      <alignment horizontal="right" vertical="center" wrapText="1"/>
    </xf>
    <xf numFmtId="166" fontId="10" fillId="0" borderId="1" xfId="2" applyNumberFormat="1" applyFont="1" applyFill="1" applyBorder="1" applyAlignment="1">
      <alignment horizontal="right" vertical="center" wrapText="1"/>
    </xf>
    <xf numFmtId="166" fontId="8" fillId="0" borderId="1" xfId="2" applyNumberFormat="1" applyFont="1" applyFill="1" applyBorder="1" applyAlignment="1">
      <alignment horizontal="right" vertical="center" wrapText="1"/>
    </xf>
    <xf numFmtId="0" fontId="1" fillId="0" borderId="0" xfId="5" applyFont="1" applyFill="1"/>
    <xf numFmtId="0" fontId="4" fillId="0" borderId="0" xfId="0" applyFont="1" applyFill="1"/>
    <xf numFmtId="0" fontId="4" fillId="0" borderId="0" xfId="0" applyFont="1" applyFill="1" applyBorder="1"/>
    <xf numFmtId="166" fontId="8" fillId="0" borderId="1" xfId="1" applyNumberFormat="1" applyFont="1" applyFill="1" applyBorder="1" applyAlignment="1">
      <alignment vertical="center" wrapText="1"/>
    </xf>
    <xf numFmtId="0" fontId="8" fillId="0" borderId="0" xfId="0" applyFont="1"/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left" wrapText="1"/>
    </xf>
    <xf numFmtId="49" fontId="8" fillId="0" borderId="4" xfId="5" applyNumberFormat="1" applyFont="1" applyFill="1" applyBorder="1" applyAlignment="1">
      <alignment horizontal="center" vertical="center" wrapText="1"/>
    </xf>
    <xf numFmtId="166" fontId="8" fillId="0" borderId="4" xfId="5" applyNumberFormat="1" applyFont="1" applyFill="1" applyBorder="1" applyAlignment="1">
      <alignment vertical="center" wrapText="1"/>
    </xf>
    <xf numFmtId="49" fontId="16" fillId="0" borderId="1" xfId="5" applyNumberFormat="1" applyFont="1" applyFill="1" applyBorder="1" applyAlignment="1">
      <alignment horizontal="left" vertical="center" wrapText="1"/>
    </xf>
    <xf numFmtId="49" fontId="16" fillId="0" borderId="1" xfId="5" applyNumberFormat="1" applyFont="1" applyFill="1" applyBorder="1" applyAlignment="1">
      <alignment horizontal="left" vertical="center" wrapText="1" indent="2"/>
    </xf>
    <xf numFmtId="0" fontId="17" fillId="0" borderId="1" xfId="0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left" vertical="center" wrapText="1"/>
    </xf>
    <xf numFmtId="167" fontId="16" fillId="0" borderId="1" xfId="0" applyNumberFormat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66" fontId="13" fillId="0" borderId="3" xfId="1" applyNumberFormat="1" applyFont="1" applyFill="1" applyBorder="1" applyAlignment="1">
      <alignment vertical="center" wrapText="1"/>
    </xf>
    <xf numFmtId="49" fontId="9" fillId="5" borderId="1" xfId="5" applyNumberFormat="1" applyFont="1" applyFill="1" applyBorder="1" applyAlignment="1">
      <alignment horizontal="left" vertical="center" wrapText="1"/>
    </xf>
    <xf numFmtId="49" fontId="9" fillId="5" borderId="1" xfId="5" applyNumberFormat="1" applyFont="1" applyFill="1" applyBorder="1" applyAlignment="1">
      <alignment horizontal="center" vertical="center" wrapText="1"/>
    </xf>
    <xf numFmtId="166" fontId="9" fillId="5" borderId="1" xfId="5" applyNumberFormat="1" applyFont="1" applyFill="1" applyBorder="1" applyAlignment="1">
      <alignment horizontal="right" vertical="center" wrapText="1"/>
    </xf>
    <xf numFmtId="49" fontId="7" fillId="0" borderId="1" xfId="5" applyNumberFormat="1" applyFont="1" applyFill="1" applyBorder="1" applyAlignment="1">
      <alignment vertical="center" wrapText="1"/>
    </xf>
    <xf numFmtId="49" fontId="8" fillId="0" borderId="1" xfId="5" applyNumberFormat="1" applyFont="1" applyFill="1" applyBorder="1" applyAlignment="1">
      <alignment vertical="top" wrapText="1"/>
    </xf>
    <xf numFmtId="49" fontId="10" fillId="0" borderId="1" xfId="5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/>
    <xf numFmtId="164" fontId="8" fillId="0" borderId="1" xfId="1" applyNumberFormat="1" applyFont="1" applyFill="1" applyBorder="1" applyAlignment="1">
      <alignment horizontal="right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6" fillId="0" borderId="0" xfId="4" applyFont="1"/>
    <xf numFmtId="0" fontId="8" fillId="0" borderId="0" xfId="4" applyFont="1"/>
    <xf numFmtId="165" fontId="8" fillId="0" borderId="0" xfId="4" applyNumberFormat="1" applyFont="1"/>
    <xf numFmtId="0" fontId="7" fillId="0" borderId="0" xfId="4" applyFont="1" applyBorder="1" applyAlignment="1">
      <alignment horizontal="center"/>
    </xf>
    <xf numFmtId="0" fontId="8" fillId="0" borderId="0" xfId="4" applyFont="1" applyAlignment="1">
      <alignment horizontal="right"/>
    </xf>
    <xf numFmtId="0" fontId="4" fillId="0" borderId="1" xfId="4" applyFont="1" applyBorder="1" applyAlignment="1">
      <alignment horizontal="center" vertical="center" wrapText="1"/>
    </xf>
    <xf numFmtId="0" fontId="4" fillId="0" borderId="0" xfId="4" applyFont="1"/>
    <xf numFmtId="0" fontId="4" fillId="0" borderId="1" xfId="3" applyFont="1" applyBorder="1" applyAlignment="1">
      <alignment horizontal="center" vertical="center" wrapText="1"/>
    </xf>
    <xf numFmtId="166" fontId="18" fillId="0" borderId="1" xfId="4" applyNumberFormat="1" applyFont="1" applyBorder="1" applyAlignment="1">
      <alignment horizontal="right" vertical="center" wrapText="1"/>
    </xf>
    <xf numFmtId="0" fontId="19" fillId="0" borderId="1" xfId="4" applyFont="1" applyBorder="1" applyAlignment="1">
      <alignment horizontal="left" vertical="center" wrapText="1"/>
    </xf>
    <xf numFmtId="166" fontId="18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166" fontId="8" fillId="0" borderId="0" xfId="4" applyNumberFormat="1" applyFont="1"/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center" vertical="center"/>
    </xf>
    <xf numFmtId="0" fontId="8" fillId="0" borderId="0" xfId="4" applyFont="1" applyFill="1"/>
    <xf numFmtId="0" fontId="4" fillId="0" borderId="1" xfId="0" applyFont="1" applyFill="1" applyBorder="1" applyAlignment="1">
      <alignment horizontal="center" vertical="center" wrapText="1"/>
    </xf>
    <xf numFmtId="0" fontId="8" fillId="3" borderId="0" xfId="4" applyFont="1" applyFill="1"/>
    <xf numFmtId="49" fontId="4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right" vertical="center" wrapText="1"/>
    </xf>
    <xf numFmtId="0" fontId="3" fillId="0" borderId="0" xfId="4" applyFont="1"/>
    <xf numFmtId="0" fontId="4" fillId="0" borderId="0" xfId="3" applyFont="1"/>
    <xf numFmtId="0" fontId="7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49" fontId="8" fillId="0" borderId="1" xfId="5" applyNumberFormat="1" applyFont="1" applyFill="1" applyBorder="1" applyAlignment="1">
      <alignment horizontal="left" vertical="top" wrapText="1"/>
    </xf>
    <xf numFmtId="49" fontId="8" fillId="0" borderId="1" xfId="5" applyNumberFormat="1" applyFont="1" applyBorder="1" applyAlignment="1">
      <alignment horizontal="left" vertical="center" wrapText="1" indent="2"/>
    </xf>
    <xf numFmtId="0" fontId="11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24" fillId="0" borderId="0" xfId="0" applyFont="1"/>
    <xf numFmtId="0" fontId="2" fillId="0" borderId="0" xfId="3"/>
    <xf numFmtId="0" fontId="2" fillId="0" borderId="0" xfId="3" applyAlignment="1">
      <alignment horizontal="left"/>
    </xf>
    <xf numFmtId="0" fontId="2" fillId="0" borderId="0" xfId="3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0" borderId="0" xfId="3" applyFont="1" applyAlignment="1">
      <alignment horizontal="left"/>
    </xf>
    <xf numFmtId="166" fontId="4" fillId="0" borderId="1" xfId="3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166" fontId="11" fillId="0" borderId="1" xfId="1" applyNumberFormat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20" fillId="6" borderId="1" xfId="0" applyNumberFormat="1" applyFont="1" applyFill="1" applyBorder="1" applyAlignment="1">
      <alignment horizontal="left" vertical="center" wrapText="1"/>
    </xf>
    <xf numFmtId="166" fontId="20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166" fontId="20" fillId="6" borderId="1" xfId="4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4" applyFont="1" applyFill="1" applyBorder="1" applyAlignment="1">
      <alignment horizontal="left" vertical="center" wrapText="1"/>
    </xf>
    <xf numFmtId="166" fontId="5" fillId="6" borderId="1" xfId="4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left" vertical="center" wrapText="1"/>
    </xf>
    <xf numFmtId="0" fontId="5" fillId="6" borderId="1" xfId="4" applyFont="1" applyFill="1" applyBorder="1" applyAlignment="1">
      <alignment horizontal="center" vertical="center" wrapText="1"/>
    </xf>
    <xf numFmtId="166" fontId="21" fillId="6" borderId="1" xfId="4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vertical="center" wrapText="1"/>
    </xf>
    <xf numFmtId="0" fontId="11" fillId="6" borderId="1" xfId="1" applyFont="1" applyFill="1" applyBorder="1" applyAlignment="1">
      <alignment horizontal="center" vertical="center" wrapText="1"/>
    </xf>
    <xf numFmtId="166" fontId="11" fillId="6" borderId="1" xfId="1" applyNumberFormat="1" applyFont="1" applyFill="1" applyBorder="1" applyAlignment="1">
      <alignment vertical="center"/>
    </xf>
    <xf numFmtId="49" fontId="7" fillId="6" borderId="1" xfId="5" applyNumberFormat="1" applyFont="1" applyFill="1" applyBorder="1" applyAlignment="1">
      <alignment horizontal="left" vertical="center" wrapText="1"/>
    </xf>
    <xf numFmtId="49" fontId="7" fillId="6" borderId="1" xfId="5" applyNumberFormat="1" applyFont="1" applyFill="1" applyBorder="1" applyAlignment="1">
      <alignment horizontal="center" vertical="center" wrapText="1"/>
    </xf>
    <xf numFmtId="49" fontId="8" fillId="6" borderId="1" xfId="5" applyNumberFormat="1" applyFont="1" applyFill="1" applyBorder="1" applyAlignment="1">
      <alignment horizontal="center" vertical="center" wrapText="1"/>
    </xf>
    <xf numFmtId="166" fontId="7" fillId="6" borderId="1" xfId="5" applyNumberFormat="1" applyFont="1" applyFill="1" applyBorder="1" applyAlignment="1">
      <alignment horizontal="right" vertical="center"/>
    </xf>
    <xf numFmtId="166" fontId="5" fillId="6" borderId="1" xfId="3" applyNumberFormat="1" applyFont="1" applyFill="1" applyBorder="1" applyAlignment="1">
      <alignment horizontal="center" vertical="center"/>
    </xf>
    <xf numFmtId="0" fontId="4" fillId="0" borderId="0" xfId="0" applyFont="1"/>
    <xf numFmtId="0" fontId="8" fillId="0" borderId="1" xfId="1" applyFont="1" applyFill="1" applyBorder="1" applyAlignment="1">
      <alignment vertical="center" wrapText="1"/>
    </xf>
    <xf numFmtId="49" fontId="10" fillId="3" borderId="1" xfId="5" applyNumberFormat="1" applyFont="1" applyFill="1" applyBorder="1" applyAlignment="1">
      <alignment horizontal="left" vertical="center" wrapText="1" indent="2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166" fontId="20" fillId="4" borderId="1" xfId="4" applyNumberFormat="1" applyFont="1" applyFill="1" applyBorder="1" applyAlignment="1">
      <alignment horizontal="right" vertical="center" wrapText="1"/>
    </xf>
    <xf numFmtId="0" fontId="4" fillId="0" borderId="1" xfId="3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166" fontId="8" fillId="0" borderId="0" xfId="5" applyNumberFormat="1" applyFont="1" applyFill="1" applyBorder="1" applyAlignment="1">
      <alignment vertical="center" wrapText="1"/>
    </xf>
    <xf numFmtId="49" fontId="8" fillId="3" borderId="0" xfId="5" applyNumberFormat="1" applyFont="1" applyFill="1" applyBorder="1" applyAlignment="1">
      <alignment horizontal="left" vertical="center" wrapText="1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166" fontId="8" fillId="7" borderId="1" xfId="5" applyNumberFormat="1" applyFont="1" applyFill="1" applyBorder="1" applyAlignment="1">
      <alignment horizontal="right" vertical="center" wrapText="1"/>
    </xf>
    <xf numFmtId="0" fontId="8" fillId="0" borderId="0" xfId="4" applyFont="1" applyBorder="1" applyAlignment="1">
      <alignment horizontal="justify" vertical="top" wrapText="1"/>
    </xf>
    <xf numFmtId="0" fontId="8" fillId="0" borderId="0" xfId="4" applyFont="1" applyBorder="1" applyAlignment="1">
      <alignment horizontal="justify" vertical="top"/>
    </xf>
    <xf numFmtId="0" fontId="8" fillId="0" borderId="0" xfId="4" applyFont="1" applyAlignment="1">
      <alignment horizontal="justify" vertical="top"/>
    </xf>
    <xf numFmtId="0" fontId="21" fillId="6" borderId="1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Бюджет 2007" xfId="3" xr:uid="{00000000-0005-0000-0000-000003000000}"/>
    <cellStyle name="Обычный_Исполнение бюджета 2 квартал ПЕЧАТЬ" xfId="4" xr:uid="{00000000-0005-0000-0000-000004000000}"/>
    <cellStyle name="Обычный_Приложения 1-9 к бюджету 2007 Поправка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workbookViewId="0">
      <selection activeCell="B15" sqref="B15"/>
    </sheetView>
  </sheetViews>
  <sheetFormatPr defaultRowHeight="12.75" x14ac:dyDescent="0.2"/>
  <cols>
    <col min="1" max="1" width="26.28515625" style="210" customWidth="1"/>
    <col min="2" max="2" width="64.140625" style="210" customWidth="1"/>
    <col min="3" max="3" width="15.140625" style="210" customWidth="1"/>
    <col min="4" max="5" width="16.85546875" style="210" customWidth="1"/>
    <col min="6" max="6" width="12.28515625" style="210" customWidth="1"/>
    <col min="7" max="7" width="9.7109375" style="210" bestFit="1" customWidth="1"/>
    <col min="8" max="16384" width="9.140625" style="210"/>
  </cols>
  <sheetData>
    <row r="1" spans="1:5" ht="15" x14ac:dyDescent="0.25">
      <c r="D1" s="99" t="s">
        <v>525</v>
      </c>
      <c r="E1" s="100"/>
    </row>
    <row r="2" spans="1:5" ht="15" x14ac:dyDescent="0.25">
      <c r="D2" s="99" t="s">
        <v>529</v>
      </c>
      <c r="E2" s="101"/>
    </row>
    <row r="3" spans="1:5" ht="15" x14ac:dyDescent="0.25">
      <c r="D3" s="99" t="s">
        <v>10</v>
      </c>
      <c r="E3" s="105"/>
    </row>
    <row r="4" spans="1:5" ht="15" x14ac:dyDescent="0.25">
      <c r="D4" s="99" t="s">
        <v>3</v>
      </c>
      <c r="E4" s="101"/>
    </row>
    <row r="5" spans="1:5" ht="15" x14ac:dyDescent="0.25">
      <c r="D5" s="99" t="s">
        <v>4</v>
      </c>
      <c r="E5" s="101"/>
    </row>
    <row r="6" spans="1:5" ht="15" x14ac:dyDescent="0.25">
      <c r="D6" s="99" t="s">
        <v>530</v>
      </c>
      <c r="E6" s="102"/>
    </row>
    <row r="8" spans="1:5" ht="15" x14ac:dyDescent="0.25">
      <c r="D8" s="99" t="s">
        <v>470</v>
      </c>
      <c r="E8" s="100"/>
    </row>
    <row r="9" spans="1:5" ht="15" x14ac:dyDescent="0.25">
      <c r="D9" s="99" t="s">
        <v>486</v>
      </c>
      <c r="E9" s="101"/>
    </row>
    <row r="10" spans="1:5" ht="15" x14ac:dyDescent="0.25">
      <c r="D10" s="99" t="s">
        <v>10</v>
      </c>
      <c r="E10" s="105"/>
    </row>
    <row r="11" spans="1:5" ht="15" x14ac:dyDescent="0.25">
      <c r="D11" s="99" t="s">
        <v>3</v>
      </c>
      <c r="E11" s="101"/>
    </row>
    <row r="12" spans="1:5" ht="15" x14ac:dyDescent="0.25">
      <c r="D12" s="99" t="s">
        <v>4</v>
      </c>
      <c r="E12" s="101"/>
    </row>
    <row r="13" spans="1:5" s="104" customFormat="1" ht="12.75" customHeight="1" x14ac:dyDescent="0.25">
      <c r="C13" s="209"/>
      <c r="D13" s="99" t="s">
        <v>488</v>
      </c>
      <c r="E13" s="102"/>
    </row>
    <row r="14" spans="1:5" s="104" customFormat="1" ht="12.75" customHeight="1" x14ac:dyDescent="0.25">
      <c r="C14" s="209"/>
      <c r="D14" s="102"/>
      <c r="E14" s="102"/>
    </row>
    <row r="15" spans="1:5" ht="15" x14ac:dyDescent="0.25">
      <c r="B15" s="209"/>
      <c r="C15" s="211"/>
    </row>
    <row r="16" spans="1:5" ht="15.75" x14ac:dyDescent="0.25">
      <c r="A16" s="323" t="s">
        <v>360</v>
      </c>
      <c r="B16" s="323"/>
      <c r="C16" s="323"/>
      <c r="D16" s="323"/>
      <c r="E16" s="323"/>
    </row>
    <row r="17" spans="1:5" ht="15.75" x14ac:dyDescent="0.25">
      <c r="A17" s="323" t="s">
        <v>361</v>
      </c>
      <c r="B17" s="323"/>
      <c r="C17" s="323"/>
      <c r="D17" s="323"/>
      <c r="E17" s="323"/>
    </row>
    <row r="18" spans="1:5" ht="15.75" x14ac:dyDescent="0.25">
      <c r="A18" s="323" t="s">
        <v>362</v>
      </c>
      <c r="B18" s="323"/>
      <c r="C18" s="323"/>
      <c r="D18" s="323"/>
      <c r="E18" s="323"/>
    </row>
    <row r="19" spans="1:5" ht="15.75" x14ac:dyDescent="0.25">
      <c r="A19" s="323" t="s">
        <v>457</v>
      </c>
      <c r="B19" s="323"/>
      <c r="C19" s="323"/>
      <c r="D19" s="323"/>
      <c r="E19" s="323"/>
    </row>
    <row r="20" spans="1:5" x14ac:dyDescent="0.2">
      <c r="B20" s="212"/>
      <c r="C20" s="213"/>
    </row>
    <row r="21" spans="1:5" s="215" customFormat="1" ht="27.2" customHeight="1" x14ac:dyDescent="0.25">
      <c r="A21" s="324" t="s">
        <v>363</v>
      </c>
      <c r="B21" s="324" t="s">
        <v>364</v>
      </c>
      <c r="C21" s="325" t="s">
        <v>365</v>
      </c>
      <c r="D21" s="326"/>
      <c r="E21" s="327"/>
    </row>
    <row r="22" spans="1:5" s="215" customFormat="1" ht="21.4" customHeight="1" x14ac:dyDescent="0.25">
      <c r="A22" s="324"/>
      <c r="B22" s="324"/>
      <c r="C22" s="216" t="s">
        <v>298</v>
      </c>
      <c r="D22" s="216" t="s">
        <v>343</v>
      </c>
      <c r="E22" s="216" t="s">
        <v>458</v>
      </c>
    </row>
    <row r="23" spans="1:5" ht="29.25" customHeight="1" x14ac:dyDescent="0.25">
      <c r="A23" s="280" t="s">
        <v>366</v>
      </c>
      <c r="B23" s="281" t="s">
        <v>367</v>
      </c>
      <c r="C23" s="282">
        <f>C24+C26+C28+C31+C37+C40+C44</f>
        <v>111911.981</v>
      </c>
      <c r="D23" s="282">
        <f>D24+D26+D28+D31+D37+D40+D44</f>
        <v>80231.932000000001</v>
      </c>
      <c r="E23" s="282">
        <f>E24+E26+E28+E31+E37+E40+E44</f>
        <v>82862.633000000002</v>
      </c>
    </row>
    <row r="24" spans="1:5" ht="24.75" customHeight="1" x14ac:dyDescent="0.25">
      <c r="A24" s="280" t="s">
        <v>368</v>
      </c>
      <c r="B24" s="288" t="s">
        <v>369</v>
      </c>
      <c r="C24" s="276">
        <f>C25</f>
        <v>34763.737000000001</v>
      </c>
      <c r="D24" s="276">
        <f>D25</f>
        <v>35980.468000000001</v>
      </c>
      <c r="E24" s="276">
        <f>E25</f>
        <v>37311.745000000003</v>
      </c>
    </row>
    <row r="25" spans="1:5" ht="24" customHeight="1" x14ac:dyDescent="0.2">
      <c r="A25" s="214" t="s">
        <v>370</v>
      </c>
      <c r="B25" s="218" t="s">
        <v>371</v>
      </c>
      <c r="C25" s="219">
        <v>34763.737000000001</v>
      </c>
      <c r="D25" s="219">
        <v>35980.468000000001</v>
      </c>
      <c r="E25" s="219">
        <v>37311.745000000003</v>
      </c>
    </row>
    <row r="26" spans="1:5" ht="51.75" customHeight="1" x14ac:dyDescent="0.2">
      <c r="A26" s="283" t="s">
        <v>372</v>
      </c>
      <c r="B26" s="277" t="s">
        <v>373</v>
      </c>
      <c r="C26" s="276">
        <f>C27</f>
        <v>1754.96</v>
      </c>
      <c r="D26" s="276">
        <f>D27</f>
        <v>1754.96</v>
      </c>
      <c r="E26" s="276">
        <f>E27</f>
        <v>1819.893</v>
      </c>
    </row>
    <row r="27" spans="1:5" ht="33" customHeight="1" x14ac:dyDescent="0.2">
      <c r="A27" s="214" t="s">
        <v>374</v>
      </c>
      <c r="B27" s="218" t="s">
        <v>375</v>
      </c>
      <c r="C27" s="219">
        <v>1754.96</v>
      </c>
      <c r="D27" s="219">
        <v>1754.96</v>
      </c>
      <c r="E27" s="219">
        <v>1819.893</v>
      </c>
    </row>
    <row r="28" spans="1:5" ht="21.75" customHeight="1" x14ac:dyDescent="0.2">
      <c r="A28" s="286" t="s">
        <v>376</v>
      </c>
      <c r="B28" s="288" t="s">
        <v>377</v>
      </c>
      <c r="C28" s="276">
        <f>SUM(C29:C30)</f>
        <v>29765.302</v>
      </c>
      <c r="D28" s="276">
        <f>SUM(D29:D30)</f>
        <v>30496.484</v>
      </c>
      <c r="E28" s="276">
        <f>SUM(E29:E30)</f>
        <v>31356.775000000001</v>
      </c>
    </row>
    <row r="29" spans="1:5" ht="23.25" customHeight="1" x14ac:dyDescent="0.2">
      <c r="A29" s="214" t="s">
        <v>378</v>
      </c>
      <c r="B29" s="221" t="s">
        <v>379</v>
      </c>
      <c r="C29" s="219">
        <f>1710+1540.483</f>
        <v>3250.4830000000002</v>
      </c>
      <c r="D29" s="219">
        <v>1778</v>
      </c>
      <c r="E29" s="219">
        <v>1849.5</v>
      </c>
    </row>
    <row r="30" spans="1:5" ht="25.5" customHeight="1" x14ac:dyDescent="0.2">
      <c r="A30" s="214" t="s">
        <v>380</v>
      </c>
      <c r="B30" s="222" t="s">
        <v>381</v>
      </c>
      <c r="C30" s="219">
        <f>26219+295.819</f>
        <v>26514.819</v>
      </c>
      <c r="D30" s="219">
        <f>26744+1974.484</f>
        <v>28718.484</v>
      </c>
      <c r="E30" s="219">
        <f>27279+2228.275</f>
        <v>29507.275000000001</v>
      </c>
    </row>
    <row r="31" spans="1:5" ht="47.25" x14ac:dyDescent="0.2">
      <c r="A31" s="286" t="s">
        <v>382</v>
      </c>
      <c r="B31" s="285" t="s">
        <v>383</v>
      </c>
      <c r="C31" s="287">
        <f>SUM(C32:C36)</f>
        <v>10302.313999999998</v>
      </c>
      <c r="D31" s="287">
        <f>SUM(D32:D36)</f>
        <v>7851.1750000000002</v>
      </c>
      <c r="E31" s="287">
        <f>SUM(E32:E36)</f>
        <v>8078.57</v>
      </c>
    </row>
    <row r="32" spans="1:5" ht="72.75" customHeight="1" x14ac:dyDescent="0.2">
      <c r="A32" s="223" t="s">
        <v>384</v>
      </c>
      <c r="B32" s="224" t="s">
        <v>385</v>
      </c>
      <c r="C32" s="219">
        <f>2383.13+1846.878</f>
        <v>4230.0079999999998</v>
      </c>
      <c r="D32" s="219">
        <v>2473.6889999999999</v>
      </c>
      <c r="E32" s="219">
        <v>2570.163</v>
      </c>
    </row>
    <row r="33" spans="1:8" ht="60.75" customHeight="1" x14ac:dyDescent="0.2">
      <c r="A33" s="214" t="s">
        <v>386</v>
      </c>
      <c r="B33" s="221" t="s">
        <v>387</v>
      </c>
      <c r="C33" s="219">
        <v>95.494</v>
      </c>
      <c r="D33" s="219">
        <v>95.494</v>
      </c>
      <c r="E33" s="219">
        <v>95.494</v>
      </c>
    </row>
    <row r="34" spans="1:8" ht="35.25" customHeight="1" x14ac:dyDescent="0.2">
      <c r="A34" s="214" t="s">
        <v>388</v>
      </c>
      <c r="B34" s="221" t="s">
        <v>389</v>
      </c>
      <c r="C34" s="219">
        <f>1743.576+821.071</f>
        <v>2564.6469999999999</v>
      </c>
      <c r="D34" s="219">
        <v>1743.576</v>
      </c>
      <c r="E34" s="219">
        <v>1743.576</v>
      </c>
    </row>
    <row r="35" spans="1:8" ht="40.5" hidden="1" x14ac:dyDescent="0.2">
      <c r="A35" s="214" t="s">
        <v>390</v>
      </c>
      <c r="B35" s="221" t="s">
        <v>391</v>
      </c>
      <c r="C35" s="219">
        <v>0</v>
      </c>
      <c r="D35" s="219">
        <v>0</v>
      </c>
      <c r="E35" s="219">
        <v>0</v>
      </c>
    </row>
    <row r="36" spans="1:8" ht="75" customHeight="1" x14ac:dyDescent="0.2">
      <c r="A36" s="225" t="s">
        <v>392</v>
      </c>
      <c r="B36" s="221" t="s">
        <v>393</v>
      </c>
      <c r="C36" s="219">
        <v>3412.165</v>
      </c>
      <c r="D36" s="219">
        <v>3538.4160000000002</v>
      </c>
      <c r="E36" s="219">
        <v>3669.337</v>
      </c>
    </row>
    <row r="37" spans="1:8" ht="31.5" x14ac:dyDescent="0.2">
      <c r="A37" s="283" t="s">
        <v>394</v>
      </c>
      <c r="B37" s="285" t="s">
        <v>395</v>
      </c>
      <c r="C37" s="276">
        <f>SUM(C38:C39)</f>
        <v>3474.0569999999998</v>
      </c>
      <c r="D37" s="276">
        <f>SUM(D38:D39)</f>
        <v>3548.8449999999998</v>
      </c>
      <c r="E37" s="276">
        <f>SUM(E38:E39)</f>
        <v>3695.65</v>
      </c>
    </row>
    <row r="38" spans="1:8" ht="30.75" customHeight="1" x14ac:dyDescent="0.2">
      <c r="A38" s="214" t="s">
        <v>396</v>
      </c>
      <c r="B38" s="221" t="s">
        <v>397</v>
      </c>
      <c r="C38" s="219">
        <f>3185-115.8-84.008</f>
        <v>2985.192</v>
      </c>
      <c r="D38" s="219">
        <v>3302.8449999999998</v>
      </c>
      <c r="E38" s="219">
        <v>3425.05</v>
      </c>
    </row>
    <row r="39" spans="1:8" ht="24" customHeight="1" x14ac:dyDescent="0.2">
      <c r="A39" s="214" t="s">
        <v>398</v>
      </c>
      <c r="B39" s="221" t="s">
        <v>399</v>
      </c>
      <c r="C39" s="219">
        <f>357.078+131.787</f>
        <v>488.86500000000001</v>
      </c>
      <c r="D39" s="219">
        <v>246</v>
      </c>
      <c r="E39" s="219">
        <v>270.60000000000002</v>
      </c>
    </row>
    <row r="40" spans="1:8" ht="34.5" customHeight="1" x14ac:dyDescent="0.2">
      <c r="A40" s="284" t="s">
        <v>400</v>
      </c>
      <c r="B40" s="285" t="s">
        <v>401</v>
      </c>
      <c r="C40" s="276">
        <f>SUM(C41:C43)</f>
        <v>31833.633000000002</v>
      </c>
      <c r="D40" s="276">
        <f>SUM(D41:D43)</f>
        <v>600</v>
      </c>
      <c r="E40" s="276">
        <f>SUM(E41:E43)</f>
        <v>600</v>
      </c>
    </row>
    <row r="41" spans="1:8" ht="68.25" customHeight="1" x14ac:dyDescent="0.2">
      <c r="A41" s="214" t="s">
        <v>402</v>
      </c>
      <c r="B41" s="226" t="s">
        <v>403</v>
      </c>
      <c r="C41" s="219">
        <f>26709.113+26.607-1121.783+3950</f>
        <v>29563.937000000002</v>
      </c>
      <c r="D41" s="219">
        <v>0</v>
      </c>
      <c r="E41" s="219">
        <v>0</v>
      </c>
    </row>
    <row r="42" spans="1:8" ht="48.75" hidden="1" customHeight="1" x14ac:dyDescent="0.2">
      <c r="A42" s="227" t="s">
        <v>404</v>
      </c>
      <c r="B42" s="228" t="s">
        <v>405</v>
      </c>
      <c r="C42" s="219">
        <v>0</v>
      </c>
      <c r="D42" s="219">
        <v>0</v>
      </c>
      <c r="E42" s="219">
        <v>0</v>
      </c>
    </row>
    <row r="43" spans="1:8" ht="45" customHeight="1" x14ac:dyDescent="0.2">
      <c r="A43" s="225" t="s">
        <v>406</v>
      </c>
      <c r="B43" s="221" t="s">
        <v>407</v>
      </c>
      <c r="C43" s="219">
        <f>762.772+115.8+84.008+1307.116</f>
        <v>2269.6959999999999</v>
      </c>
      <c r="D43" s="219">
        <v>600</v>
      </c>
      <c r="E43" s="219">
        <v>600</v>
      </c>
    </row>
    <row r="44" spans="1:8" ht="41.25" customHeight="1" x14ac:dyDescent="0.2">
      <c r="A44" s="302" t="s">
        <v>510</v>
      </c>
      <c r="B44" s="303" t="s">
        <v>512</v>
      </c>
      <c r="C44" s="304">
        <f>SUM(C45)</f>
        <v>17.978000000000002</v>
      </c>
      <c r="D44" s="304">
        <f>SUM(D45)</f>
        <v>0</v>
      </c>
      <c r="E44" s="304">
        <f>SUM(E45)</f>
        <v>0</v>
      </c>
    </row>
    <row r="45" spans="1:8" ht="73.5" customHeight="1" x14ac:dyDescent="0.2">
      <c r="A45" s="225" t="s">
        <v>511</v>
      </c>
      <c r="B45" s="221" t="s">
        <v>513</v>
      </c>
      <c r="C45" s="217">
        <v>17.978000000000002</v>
      </c>
      <c r="D45" s="217">
        <v>0</v>
      </c>
      <c r="E45" s="217">
        <v>0</v>
      </c>
    </row>
    <row r="46" spans="1:8" ht="24.75" customHeight="1" x14ac:dyDescent="0.2">
      <c r="A46" s="275" t="s">
        <v>408</v>
      </c>
      <c r="B46" s="279" t="s">
        <v>409</v>
      </c>
      <c r="C46" s="282">
        <f>C47</f>
        <v>112373.28399999999</v>
      </c>
      <c r="D46" s="282">
        <f>D47+0.001</f>
        <v>81401.92227000001</v>
      </c>
      <c r="E46" s="282">
        <f>E47</f>
        <v>82231.320999999996</v>
      </c>
      <c r="G46" s="229"/>
      <c r="H46" s="229"/>
    </row>
    <row r="47" spans="1:8" ht="31.5" x14ac:dyDescent="0.2">
      <c r="A47" s="275" t="s">
        <v>410</v>
      </c>
      <c r="B47" s="277" t="s">
        <v>411</v>
      </c>
      <c r="C47" s="276">
        <f>C48+C51+C64+C68+C50</f>
        <v>112373.28399999999</v>
      </c>
      <c r="D47" s="276">
        <f>D48+D51+D64+D68+D50</f>
        <v>81401.921270000006</v>
      </c>
      <c r="E47" s="276">
        <f>E48+E51+E64+E68+E50</f>
        <v>82231.320999999996</v>
      </c>
    </row>
    <row r="48" spans="1:8" ht="24.75" customHeight="1" x14ac:dyDescent="0.2">
      <c r="A48" s="278" t="s">
        <v>412</v>
      </c>
      <c r="B48" s="279" t="s">
        <v>413</v>
      </c>
      <c r="C48" s="276">
        <f>C49</f>
        <v>54724.7</v>
      </c>
      <c r="D48" s="276">
        <f>D49</f>
        <v>57319</v>
      </c>
      <c r="E48" s="276">
        <f>E49</f>
        <v>60130.1</v>
      </c>
    </row>
    <row r="49" spans="1:9" ht="48.75" customHeight="1" x14ac:dyDescent="0.2">
      <c r="A49" s="225" t="s">
        <v>453</v>
      </c>
      <c r="B49" s="231" t="s">
        <v>456</v>
      </c>
      <c r="C49" s="219">
        <v>54724.7</v>
      </c>
      <c r="D49" s="219">
        <v>57319</v>
      </c>
      <c r="E49" s="219">
        <v>60130.1</v>
      </c>
    </row>
    <row r="50" spans="1:9" ht="8.1" hidden="1" customHeight="1" x14ac:dyDescent="0.2">
      <c r="A50" s="225" t="s">
        <v>414</v>
      </c>
      <c r="B50" s="231" t="s">
        <v>415</v>
      </c>
      <c r="C50" s="219">
        <v>0</v>
      </c>
      <c r="D50" s="219">
        <v>0</v>
      </c>
      <c r="E50" s="219">
        <v>0</v>
      </c>
    </row>
    <row r="51" spans="1:9" ht="36" customHeight="1" x14ac:dyDescent="0.2">
      <c r="A51" s="275" t="s">
        <v>416</v>
      </c>
      <c r="B51" s="273" t="s">
        <v>417</v>
      </c>
      <c r="C51" s="276">
        <f>C52+C53+C54+C55+C57+C59+C60+C61+C62+C63+C58</f>
        <v>44088.928999999996</v>
      </c>
      <c r="D51" s="276">
        <f t="shared" ref="D51:E51" si="0">D52+D53+D54+D55+D57+D59+D60+D61+D62+D63+D58</f>
        <v>20575.076270000001</v>
      </c>
      <c r="E51" s="276">
        <f t="shared" si="0"/>
        <v>18512.952999999998</v>
      </c>
      <c r="F51" s="319"/>
      <c r="G51" s="320"/>
      <c r="H51" s="320"/>
    </row>
    <row r="52" spans="1:9" ht="76.5" customHeight="1" x14ac:dyDescent="0.2">
      <c r="A52" s="225" t="s">
        <v>418</v>
      </c>
      <c r="B52" s="230" t="s">
        <v>503</v>
      </c>
      <c r="C52" s="219">
        <v>861.9</v>
      </c>
      <c r="D52" s="219">
        <v>0</v>
      </c>
      <c r="E52" s="219">
        <v>0</v>
      </c>
    </row>
    <row r="53" spans="1:9" ht="90" customHeight="1" x14ac:dyDescent="0.2">
      <c r="A53" s="225" t="s">
        <v>418</v>
      </c>
      <c r="B53" s="230" t="s">
        <v>419</v>
      </c>
      <c r="C53" s="219">
        <v>13037.39</v>
      </c>
      <c r="D53" s="219">
        <v>0</v>
      </c>
      <c r="E53" s="219">
        <v>0</v>
      </c>
    </row>
    <row r="54" spans="1:9" ht="86.25" customHeight="1" x14ac:dyDescent="0.2">
      <c r="A54" s="234" t="s">
        <v>420</v>
      </c>
      <c r="B54" s="230" t="s">
        <v>421</v>
      </c>
      <c r="C54" s="219">
        <v>1253.5</v>
      </c>
      <c r="D54" s="219">
        <v>0</v>
      </c>
      <c r="E54" s="219">
        <v>0</v>
      </c>
    </row>
    <row r="55" spans="1:9" ht="99.75" customHeight="1" x14ac:dyDescent="0.2">
      <c r="A55" s="234" t="s">
        <v>420</v>
      </c>
      <c r="B55" s="230" t="s">
        <v>493</v>
      </c>
      <c r="C55" s="219">
        <v>0</v>
      </c>
      <c r="D55" s="219">
        <v>1659.81763</v>
      </c>
      <c r="E55" s="219">
        <v>11399.995999999999</v>
      </c>
    </row>
    <row r="56" spans="1:9" ht="100.5" hidden="1" customHeight="1" x14ac:dyDescent="0.2">
      <c r="A56" s="234" t="s">
        <v>495</v>
      </c>
      <c r="B56" s="230" t="s">
        <v>496</v>
      </c>
      <c r="C56" s="219">
        <v>0</v>
      </c>
      <c r="D56" s="219">
        <v>0</v>
      </c>
      <c r="E56" s="219">
        <v>0</v>
      </c>
    </row>
    <row r="57" spans="1:9" s="233" customFormat="1" ht="65.25" customHeight="1" x14ac:dyDescent="0.2">
      <c r="A57" s="232" t="s">
        <v>422</v>
      </c>
      <c r="B57" s="230" t="s">
        <v>423</v>
      </c>
      <c r="C57" s="219">
        <f>25000-3858.1</f>
        <v>21141.9</v>
      </c>
      <c r="D57" s="219">
        <v>13898.1</v>
      </c>
      <c r="E57" s="219">
        <v>0</v>
      </c>
    </row>
    <row r="58" spans="1:9" s="233" customFormat="1" ht="65.25" customHeight="1" x14ac:dyDescent="0.2">
      <c r="A58" s="234" t="s">
        <v>507</v>
      </c>
      <c r="B58" s="231" t="s">
        <v>514</v>
      </c>
      <c r="C58" s="219">
        <v>587.88</v>
      </c>
      <c r="D58" s="219">
        <v>0</v>
      </c>
      <c r="E58" s="219">
        <v>0</v>
      </c>
    </row>
    <row r="59" spans="1:9" s="233" customFormat="1" ht="51.75" customHeight="1" x14ac:dyDescent="0.2">
      <c r="A59" s="234" t="s">
        <v>432</v>
      </c>
      <c r="B59" s="231" t="s">
        <v>491</v>
      </c>
      <c r="C59" s="219">
        <v>1395.8589999999999</v>
      </c>
      <c r="D59" s="219">
        <v>4807.9586399999998</v>
      </c>
      <c r="E59" s="219">
        <v>7055.1570000000002</v>
      </c>
    </row>
    <row r="60" spans="1:9" s="233" customFormat="1" ht="48.75" customHeight="1" x14ac:dyDescent="0.2">
      <c r="A60" s="234" t="s">
        <v>424</v>
      </c>
      <c r="B60" s="231" t="s">
        <v>504</v>
      </c>
      <c r="C60" s="219">
        <v>31</v>
      </c>
      <c r="D60" s="219">
        <v>137</v>
      </c>
      <c r="E60" s="219">
        <v>0</v>
      </c>
    </row>
    <row r="61" spans="1:9" s="233" customFormat="1" ht="69" customHeight="1" x14ac:dyDescent="0.2">
      <c r="A61" s="234" t="s">
        <v>424</v>
      </c>
      <c r="B61" s="231" t="s">
        <v>485</v>
      </c>
      <c r="C61" s="219">
        <v>86.8</v>
      </c>
      <c r="D61" s="219">
        <v>72.2</v>
      </c>
      <c r="E61" s="219">
        <v>57.8</v>
      </c>
    </row>
    <row r="62" spans="1:9" s="233" customFormat="1" ht="93" customHeight="1" x14ac:dyDescent="0.2">
      <c r="A62" s="234" t="s">
        <v>424</v>
      </c>
      <c r="B62" s="231" t="s">
        <v>484</v>
      </c>
      <c r="C62" s="219">
        <f>4957.9-165.2</f>
        <v>4792.7</v>
      </c>
      <c r="D62" s="219">
        <v>0</v>
      </c>
      <c r="E62" s="219">
        <v>0</v>
      </c>
    </row>
    <row r="63" spans="1:9" s="233" customFormat="1" ht="35.450000000000003" customHeight="1" x14ac:dyDescent="0.2">
      <c r="A63" s="234" t="s">
        <v>424</v>
      </c>
      <c r="B63" s="231" t="s">
        <v>452</v>
      </c>
      <c r="C63" s="219">
        <v>900</v>
      </c>
      <c r="D63" s="219">
        <v>0</v>
      </c>
      <c r="E63" s="219">
        <v>0</v>
      </c>
    </row>
    <row r="64" spans="1:9" ht="23.25" customHeight="1" x14ac:dyDescent="0.2">
      <c r="A64" s="272" t="s">
        <v>425</v>
      </c>
      <c r="B64" s="273" t="s">
        <v>426</v>
      </c>
      <c r="C64" s="274">
        <f>SUM(C65:C67)</f>
        <v>3430.5149999999999</v>
      </c>
      <c r="D64" s="274">
        <f>SUM(D65:D67)</f>
        <v>3507.8449999999998</v>
      </c>
      <c r="E64" s="274">
        <f>SUM(E65:E67)</f>
        <v>3588.2679999999996</v>
      </c>
      <c r="F64" s="235"/>
      <c r="G64" s="321"/>
      <c r="H64" s="321"/>
      <c r="I64" s="321"/>
    </row>
    <row r="65" spans="1:9" ht="40.5" x14ac:dyDescent="0.2">
      <c r="A65" s="236" t="s">
        <v>427</v>
      </c>
      <c r="B65" s="231" t="s">
        <v>428</v>
      </c>
      <c r="C65" s="237">
        <v>1486.7</v>
      </c>
      <c r="D65" s="237">
        <v>1486.7</v>
      </c>
      <c r="E65" s="237">
        <v>1486.7</v>
      </c>
    </row>
    <row r="66" spans="1:9" s="238" customFormat="1" ht="54" x14ac:dyDescent="0.2">
      <c r="A66" s="236" t="s">
        <v>429</v>
      </c>
      <c r="B66" s="231" t="s">
        <v>430</v>
      </c>
      <c r="C66" s="237">
        <v>1933.2550000000001</v>
      </c>
      <c r="D66" s="237">
        <v>2010.585</v>
      </c>
      <c r="E66" s="237">
        <v>2091.0079999999998</v>
      </c>
    </row>
    <row r="67" spans="1:9" s="238" customFormat="1" ht="59.85" customHeight="1" x14ac:dyDescent="0.2">
      <c r="A67" s="236" t="s">
        <v>429</v>
      </c>
      <c r="B67" s="231" t="s">
        <v>431</v>
      </c>
      <c r="C67" s="237">
        <v>10.56</v>
      </c>
      <c r="D67" s="237">
        <v>10.56</v>
      </c>
      <c r="E67" s="237">
        <v>10.56</v>
      </c>
    </row>
    <row r="68" spans="1:9" ht="36" customHeight="1" x14ac:dyDescent="0.2">
      <c r="A68" s="272" t="s">
        <v>502</v>
      </c>
      <c r="B68" s="273" t="s">
        <v>2</v>
      </c>
      <c r="C68" s="274">
        <f>SUM(C69)+C70</f>
        <v>10129.14</v>
      </c>
      <c r="D68" s="274">
        <f>SUM(D69)</f>
        <v>0</v>
      </c>
      <c r="E68" s="274">
        <f>SUM(E69)</f>
        <v>0</v>
      </c>
      <c r="F68" s="235"/>
      <c r="G68" s="321"/>
      <c r="H68" s="321"/>
      <c r="I68" s="321"/>
    </row>
    <row r="69" spans="1:9" ht="54.75" customHeight="1" x14ac:dyDescent="0.2">
      <c r="A69" s="234" t="s">
        <v>495</v>
      </c>
      <c r="B69" s="230" t="s">
        <v>496</v>
      </c>
      <c r="C69" s="219">
        <f>12748.382-2718.463-42.779</f>
        <v>9987.14</v>
      </c>
      <c r="D69" s="219">
        <v>0</v>
      </c>
      <c r="E69" s="219">
        <v>0</v>
      </c>
    </row>
    <row r="70" spans="1:9" ht="64.5" customHeight="1" x14ac:dyDescent="0.2">
      <c r="A70" s="234" t="s">
        <v>508</v>
      </c>
      <c r="B70" s="230" t="s">
        <v>509</v>
      </c>
      <c r="C70" s="219">
        <v>142</v>
      </c>
      <c r="D70" s="219">
        <v>0</v>
      </c>
      <c r="E70" s="219">
        <v>0</v>
      </c>
    </row>
    <row r="71" spans="1:9" ht="15.75" x14ac:dyDescent="0.2">
      <c r="A71" s="322" t="s">
        <v>1</v>
      </c>
      <c r="B71" s="322"/>
      <c r="C71" s="282">
        <f>C23+C46</f>
        <v>224285.26499999998</v>
      </c>
      <c r="D71" s="282">
        <f>D23+D46</f>
        <v>161633.85427000001</v>
      </c>
      <c r="E71" s="282">
        <f>E23+E46</f>
        <v>165093.954</v>
      </c>
    </row>
  </sheetData>
  <mergeCells count="11">
    <mergeCell ref="F51:H51"/>
    <mergeCell ref="G64:I64"/>
    <mergeCell ref="G68:I68"/>
    <mergeCell ref="A71:B71"/>
    <mergeCell ref="A16:E16"/>
    <mergeCell ref="A17:E17"/>
    <mergeCell ref="A18:E18"/>
    <mergeCell ref="A19:E19"/>
    <mergeCell ref="A21:A22"/>
    <mergeCell ref="B21:B22"/>
    <mergeCell ref="C21:E21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H430"/>
  <sheetViews>
    <sheetView topLeftCell="A387" workbookViewId="0">
      <selection sqref="A1:F424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6" width="16.28515625" style="3" customWidth="1"/>
    <col min="7" max="7" width="12.42578125" style="1" bestFit="1" customWidth="1"/>
    <col min="8" max="16384" width="9.140625" style="1"/>
  </cols>
  <sheetData>
    <row r="1" spans="1:6" ht="15" x14ac:dyDescent="0.25">
      <c r="D1" s="99" t="s">
        <v>526</v>
      </c>
      <c r="E1" s="100"/>
      <c r="F1" s="103"/>
    </row>
    <row r="2" spans="1:6" ht="15" x14ac:dyDescent="0.25">
      <c r="D2" s="99" t="s">
        <v>489</v>
      </c>
      <c r="E2" s="99"/>
      <c r="F2" s="103"/>
    </row>
    <row r="3" spans="1:6" ht="15" x14ac:dyDescent="0.25">
      <c r="D3" s="99" t="s">
        <v>10</v>
      </c>
      <c r="E3" s="170"/>
      <c r="F3" s="103"/>
    </row>
    <row r="4" spans="1:6" ht="15" x14ac:dyDescent="0.25">
      <c r="D4" s="99" t="s">
        <v>3</v>
      </c>
      <c r="E4" s="99"/>
      <c r="F4" s="103"/>
    </row>
    <row r="5" spans="1:6" ht="15" x14ac:dyDescent="0.25">
      <c r="D5" s="99" t="s">
        <v>4</v>
      </c>
      <c r="E5" s="99"/>
      <c r="F5" s="103"/>
    </row>
    <row r="6" spans="1:6" ht="15" x14ac:dyDescent="0.25">
      <c r="D6" s="99" t="s">
        <v>531</v>
      </c>
      <c r="E6" s="100"/>
      <c r="F6" s="103"/>
    </row>
    <row r="8" spans="1:6" ht="15" x14ac:dyDescent="0.25">
      <c r="D8" s="99" t="s">
        <v>471</v>
      </c>
      <c r="E8" s="100"/>
      <c r="F8" s="103"/>
    </row>
    <row r="9" spans="1:6" ht="15" x14ac:dyDescent="0.25">
      <c r="D9" s="99" t="s">
        <v>486</v>
      </c>
      <c r="E9" s="99"/>
      <c r="F9" s="103"/>
    </row>
    <row r="10" spans="1:6" ht="15" x14ac:dyDescent="0.25">
      <c r="D10" s="99" t="s">
        <v>10</v>
      </c>
      <c r="E10" s="170"/>
      <c r="F10" s="103"/>
    </row>
    <row r="11" spans="1:6" ht="15" x14ac:dyDescent="0.25">
      <c r="D11" s="99" t="s">
        <v>3</v>
      </c>
      <c r="E11" s="99"/>
      <c r="F11" s="103"/>
    </row>
    <row r="12" spans="1:6" ht="15" x14ac:dyDescent="0.25">
      <c r="D12" s="99" t="s">
        <v>4</v>
      </c>
      <c r="E12" s="99"/>
      <c r="F12" s="103"/>
    </row>
    <row r="13" spans="1:6" ht="15" x14ac:dyDescent="0.25">
      <c r="D13" s="99" t="s">
        <v>488</v>
      </c>
      <c r="E13" s="100"/>
      <c r="F13" s="103"/>
    </row>
    <row r="14" spans="1:6" s="104" customFormat="1" ht="12.75" customHeight="1" x14ac:dyDescent="0.25">
      <c r="D14" s="99"/>
      <c r="E14" s="102"/>
    </row>
    <row r="15" spans="1:6" ht="15.75" customHeight="1" x14ac:dyDescent="0.2"/>
    <row r="16" spans="1:6" s="4" customFormat="1" ht="60.6" customHeight="1" x14ac:dyDescent="0.25">
      <c r="A16" s="328" t="s">
        <v>461</v>
      </c>
      <c r="B16" s="328"/>
      <c r="C16" s="328"/>
      <c r="D16" s="328"/>
      <c r="E16" s="328"/>
      <c r="F16" s="328"/>
    </row>
    <row r="17" spans="1:6" s="4" customFormat="1" ht="15.75" x14ac:dyDescent="0.25">
      <c r="A17" s="7"/>
      <c r="B17" s="7"/>
      <c r="C17" s="7"/>
      <c r="D17" s="7"/>
      <c r="E17" s="7"/>
      <c r="F17" s="7"/>
    </row>
    <row r="18" spans="1:6" s="4" customFormat="1" ht="31.9" customHeight="1" x14ac:dyDescent="0.25">
      <c r="A18" s="329" t="s">
        <v>0</v>
      </c>
      <c r="B18" s="330" t="s">
        <v>6</v>
      </c>
      <c r="C18" s="330" t="s">
        <v>22</v>
      </c>
      <c r="D18" s="330" t="s">
        <v>23</v>
      </c>
      <c r="E18" s="330" t="s">
        <v>24</v>
      </c>
      <c r="F18" s="110" t="s">
        <v>25</v>
      </c>
    </row>
    <row r="19" spans="1:6" s="4" customFormat="1" ht="15.75" customHeight="1" x14ac:dyDescent="0.25">
      <c r="A19" s="329"/>
      <c r="B19" s="330"/>
      <c r="C19" s="330"/>
      <c r="D19" s="330"/>
      <c r="E19" s="330"/>
      <c r="F19" s="110" t="s">
        <v>298</v>
      </c>
    </row>
    <row r="20" spans="1:6" s="4" customFormat="1" ht="23.25" customHeight="1" x14ac:dyDescent="0.25">
      <c r="A20" s="289" t="s">
        <v>26</v>
      </c>
      <c r="B20" s="290"/>
      <c r="C20" s="290"/>
      <c r="D20" s="290"/>
      <c r="E20" s="290"/>
      <c r="F20" s="291">
        <f>SUM(F21+F259)</f>
        <v>232517.88199999998</v>
      </c>
    </row>
    <row r="21" spans="1:6" s="4" customFormat="1" ht="22.7" customHeight="1" x14ac:dyDescent="0.25">
      <c r="A21" s="112" t="s">
        <v>27</v>
      </c>
      <c r="B21" s="113"/>
      <c r="C21" s="113"/>
      <c r="D21" s="114"/>
      <c r="E21" s="115"/>
      <c r="F21" s="116">
        <f>F22+F51+F57+F82+F124+F136+F166+F180+F198+F232+F242+F248</f>
        <v>179267.63399999999</v>
      </c>
    </row>
    <row r="22" spans="1:6" s="4" customFormat="1" ht="50.25" customHeight="1" x14ac:dyDescent="0.25">
      <c r="A22" s="117" t="s">
        <v>28</v>
      </c>
      <c r="B22" s="111" t="s">
        <v>29</v>
      </c>
      <c r="C22" s="111"/>
      <c r="D22" s="118"/>
      <c r="E22" s="118"/>
      <c r="F22" s="119">
        <f>F23+F45+F35</f>
        <v>44370.020000000004</v>
      </c>
    </row>
    <row r="23" spans="1:6" s="4" customFormat="1" ht="49.7" customHeight="1" x14ac:dyDescent="0.25">
      <c r="A23" s="120" t="s">
        <v>30</v>
      </c>
      <c r="B23" s="121" t="s">
        <v>31</v>
      </c>
      <c r="C23" s="121"/>
      <c r="D23" s="122"/>
      <c r="E23" s="122"/>
      <c r="F23" s="123">
        <f>F24</f>
        <v>26794.545000000002</v>
      </c>
    </row>
    <row r="24" spans="1:6" s="4" customFormat="1" ht="28.9" customHeight="1" x14ac:dyDescent="0.25">
      <c r="A24" s="124" t="s">
        <v>32</v>
      </c>
      <c r="B24" s="125" t="s">
        <v>33</v>
      </c>
      <c r="C24" s="126"/>
      <c r="D24" s="122"/>
      <c r="E24" s="122"/>
      <c r="F24" s="127">
        <f>F25</f>
        <v>26794.545000000002</v>
      </c>
    </row>
    <row r="25" spans="1:6" s="4" customFormat="1" ht="36.75" customHeight="1" x14ac:dyDescent="0.25">
      <c r="A25" s="128" t="s">
        <v>34</v>
      </c>
      <c r="B25" s="110" t="s">
        <v>35</v>
      </c>
      <c r="C25" s="110"/>
      <c r="D25" s="129"/>
      <c r="E25" s="129"/>
      <c r="F25" s="130">
        <f>F27+F30+F33</f>
        <v>26794.545000000002</v>
      </c>
    </row>
    <row r="26" spans="1:6" s="4" customFormat="1" ht="51" x14ac:dyDescent="0.25">
      <c r="A26" s="128" t="s">
        <v>36</v>
      </c>
      <c r="B26" s="110" t="s">
        <v>35</v>
      </c>
      <c r="C26" s="110">
        <v>100</v>
      </c>
      <c r="D26" s="129"/>
      <c r="E26" s="129"/>
      <c r="F26" s="130">
        <f>F27</f>
        <v>15289.2</v>
      </c>
    </row>
    <row r="27" spans="1:6" s="4" customFormat="1" ht="32.25" customHeight="1" x14ac:dyDescent="0.25">
      <c r="A27" s="36" t="s">
        <v>37</v>
      </c>
      <c r="B27" s="110" t="s">
        <v>35</v>
      </c>
      <c r="C27" s="110">
        <v>110</v>
      </c>
      <c r="D27" s="129"/>
      <c r="E27" s="129"/>
      <c r="F27" s="130">
        <f>F28</f>
        <v>15289.2</v>
      </c>
    </row>
    <row r="28" spans="1:6" s="4" customFormat="1" ht="15.75" x14ac:dyDescent="0.25">
      <c r="A28" s="128" t="s">
        <v>38</v>
      </c>
      <c r="B28" s="110" t="s">
        <v>35</v>
      </c>
      <c r="C28" s="110">
        <v>110</v>
      </c>
      <c r="D28" s="129" t="s">
        <v>39</v>
      </c>
      <c r="E28" s="129" t="s">
        <v>40</v>
      </c>
      <c r="F28" s="130">
        <f>14842.5+556.1-84-25.4</f>
        <v>15289.2</v>
      </c>
    </row>
    <row r="29" spans="1:6" s="4" customFormat="1" ht="30.2" customHeight="1" x14ac:dyDescent="0.25">
      <c r="A29" s="128" t="s">
        <v>41</v>
      </c>
      <c r="B29" s="110" t="s">
        <v>35</v>
      </c>
      <c r="C29" s="110">
        <v>200</v>
      </c>
      <c r="D29" s="129"/>
      <c r="E29" s="129"/>
      <c r="F29" s="130">
        <f>F30</f>
        <v>11113.415000000001</v>
      </c>
    </row>
    <row r="30" spans="1:6" s="4" customFormat="1" ht="30.2" customHeight="1" x14ac:dyDescent="0.25">
      <c r="A30" s="36" t="s">
        <v>42</v>
      </c>
      <c r="B30" s="110" t="s">
        <v>35</v>
      </c>
      <c r="C30" s="110">
        <v>240</v>
      </c>
      <c r="D30" s="129"/>
      <c r="E30" s="129"/>
      <c r="F30" s="130">
        <f>F31</f>
        <v>11113.415000000001</v>
      </c>
    </row>
    <row r="31" spans="1:6" s="4" customFormat="1" ht="15.75" x14ac:dyDescent="0.25">
      <c r="A31" s="128" t="s">
        <v>38</v>
      </c>
      <c r="B31" s="110" t="s">
        <v>35</v>
      </c>
      <c r="C31" s="110">
        <v>240</v>
      </c>
      <c r="D31" s="129" t="s">
        <v>39</v>
      </c>
      <c r="E31" s="129" t="s">
        <v>40</v>
      </c>
      <c r="F31" s="130">
        <f>10955.695-2000+4423.6-17.249-71.398-2177.233</f>
        <v>11113.415000000001</v>
      </c>
    </row>
    <row r="32" spans="1:6" s="4" customFormat="1" ht="24" customHeight="1" x14ac:dyDescent="0.25">
      <c r="A32" s="128" t="s">
        <v>43</v>
      </c>
      <c r="B32" s="110" t="s">
        <v>35</v>
      </c>
      <c r="C32" s="110">
        <v>800</v>
      </c>
      <c r="D32" s="129"/>
      <c r="E32" s="129"/>
      <c r="F32" s="130">
        <f>F33</f>
        <v>391.93</v>
      </c>
    </row>
    <row r="33" spans="1:6" s="4" customFormat="1" ht="21.75" customHeight="1" x14ac:dyDescent="0.25">
      <c r="A33" s="36" t="s">
        <v>44</v>
      </c>
      <c r="B33" s="110" t="s">
        <v>35</v>
      </c>
      <c r="C33" s="110">
        <v>850</v>
      </c>
      <c r="D33" s="129"/>
      <c r="E33" s="129"/>
      <c r="F33" s="130">
        <f>F34</f>
        <v>391.93</v>
      </c>
    </row>
    <row r="34" spans="1:6" s="4" customFormat="1" ht="22.5" customHeight="1" x14ac:dyDescent="0.25">
      <c r="A34" s="128" t="s">
        <v>38</v>
      </c>
      <c r="B34" s="110" t="s">
        <v>35</v>
      </c>
      <c r="C34" s="110">
        <v>850</v>
      </c>
      <c r="D34" s="129" t="s">
        <v>39</v>
      </c>
      <c r="E34" s="129" t="s">
        <v>40</v>
      </c>
      <c r="F34" s="130">
        <f>45+346.93</f>
        <v>391.93</v>
      </c>
    </row>
    <row r="35" spans="1:6" s="4" customFormat="1" ht="38.25" x14ac:dyDescent="0.25">
      <c r="A35" s="146" t="s">
        <v>329</v>
      </c>
      <c r="B35" s="32" t="s">
        <v>325</v>
      </c>
      <c r="C35" s="202"/>
      <c r="D35" s="183"/>
      <c r="E35" s="183"/>
      <c r="F35" s="148">
        <f>F36</f>
        <v>17074.358</v>
      </c>
    </row>
    <row r="36" spans="1:6" s="4" customFormat="1" ht="24.75" customHeight="1" x14ac:dyDescent="0.25">
      <c r="A36" s="146" t="s">
        <v>330</v>
      </c>
      <c r="B36" s="16" t="s">
        <v>326</v>
      </c>
      <c r="C36" s="202"/>
      <c r="D36" s="183"/>
      <c r="E36" s="183"/>
      <c r="F36" s="148">
        <f>F37+F41</f>
        <v>17074.358</v>
      </c>
    </row>
    <row r="37" spans="1:6" s="4" customFormat="1" ht="32.25" customHeight="1" x14ac:dyDescent="0.25">
      <c r="A37" s="146" t="s">
        <v>331</v>
      </c>
      <c r="B37" s="16" t="s">
        <v>327</v>
      </c>
      <c r="C37" s="202"/>
      <c r="D37" s="183"/>
      <c r="E37" s="183"/>
      <c r="F37" s="148">
        <f>F38</f>
        <v>1288.1679999999999</v>
      </c>
    </row>
    <row r="38" spans="1:6" s="4" customFormat="1" ht="29.25" customHeight="1" x14ac:dyDescent="0.25">
      <c r="A38" s="128" t="s">
        <v>41</v>
      </c>
      <c r="B38" s="16" t="s">
        <v>327</v>
      </c>
      <c r="C38" s="202">
        <v>200</v>
      </c>
      <c r="D38" s="183"/>
      <c r="E38" s="183"/>
      <c r="F38" s="148">
        <f>F39</f>
        <v>1288.1679999999999</v>
      </c>
    </row>
    <row r="39" spans="1:6" s="4" customFormat="1" ht="30" customHeight="1" x14ac:dyDescent="0.25">
      <c r="A39" s="36" t="s">
        <v>42</v>
      </c>
      <c r="B39" s="16" t="s">
        <v>327</v>
      </c>
      <c r="C39" s="202">
        <v>240</v>
      </c>
      <c r="D39" s="183"/>
      <c r="E39" s="183"/>
      <c r="F39" s="148">
        <f>F40</f>
        <v>1288.1679999999999</v>
      </c>
    </row>
    <row r="40" spans="1:6" s="4" customFormat="1" ht="26.25" customHeight="1" x14ac:dyDescent="0.25">
      <c r="A40" s="146" t="s">
        <v>38</v>
      </c>
      <c r="B40" s="16" t="s">
        <v>327</v>
      </c>
      <c r="C40" s="202">
        <v>240</v>
      </c>
      <c r="D40" s="183" t="s">
        <v>39</v>
      </c>
      <c r="E40" s="183" t="s">
        <v>40</v>
      </c>
      <c r="F40" s="148">
        <v>1288.1679999999999</v>
      </c>
    </row>
    <row r="41" spans="1:6" s="4" customFormat="1" ht="25.5" x14ac:dyDescent="0.25">
      <c r="A41" s="146" t="s">
        <v>332</v>
      </c>
      <c r="B41" s="16" t="s">
        <v>328</v>
      </c>
      <c r="C41" s="202"/>
      <c r="D41" s="183"/>
      <c r="E41" s="183"/>
      <c r="F41" s="148">
        <f>F42</f>
        <v>15786.19</v>
      </c>
    </row>
    <row r="42" spans="1:6" s="4" customFormat="1" ht="30" customHeight="1" x14ac:dyDescent="0.25">
      <c r="A42" s="146" t="s">
        <v>265</v>
      </c>
      <c r="B42" s="16" t="s">
        <v>328</v>
      </c>
      <c r="C42" s="202">
        <v>400</v>
      </c>
      <c r="D42" s="183"/>
      <c r="E42" s="183"/>
      <c r="F42" s="148">
        <f>F43</f>
        <v>15786.19</v>
      </c>
    </row>
    <row r="43" spans="1:6" s="4" customFormat="1" ht="24" customHeight="1" x14ac:dyDescent="0.25">
      <c r="A43" s="146" t="s">
        <v>140</v>
      </c>
      <c r="B43" s="16" t="s">
        <v>328</v>
      </c>
      <c r="C43" s="202">
        <v>410</v>
      </c>
      <c r="D43" s="183"/>
      <c r="E43" s="183"/>
      <c r="F43" s="148">
        <f>F44</f>
        <v>15786.19</v>
      </c>
    </row>
    <row r="44" spans="1:6" s="4" customFormat="1" ht="22.5" customHeight="1" x14ac:dyDescent="0.25">
      <c r="A44" s="146" t="s">
        <v>38</v>
      </c>
      <c r="B44" s="16" t="s">
        <v>328</v>
      </c>
      <c r="C44" s="202">
        <v>410</v>
      </c>
      <c r="D44" s="183" t="s">
        <v>39</v>
      </c>
      <c r="E44" s="183" t="s">
        <v>40</v>
      </c>
      <c r="F44" s="80">
        <f>3872+2562.52+13037.39-3685.72</f>
        <v>15786.19</v>
      </c>
    </row>
    <row r="45" spans="1:6" s="4" customFormat="1" ht="40.5" x14ac:dyDescent="0.25">
      <c r="A45" s="120" t="s">
        <v>45</v>
      </c>
      <c r="B45" s="126" t="s">
        <v>46</v>
      </c>
      <c r="C45" s="126"/>
      <c r="D45" s="122"/>
      <c r="E45" s="122"/>
      <c r="F45" s="123">
        <f>F46</f>
        <v>501.11700000000002</v>
      </c>
    </row>
    <row r="46" spans="1:6" s="4" customFormat="1" ht="38.25" x14ac:dyDescent="0.25">
      <c r="A46" s="124" t="s">
        <v>47</v>
      </c>
      <c r="B46" s="125" t="s">
        <v>48</v>
      </c>
      <c r="C46" s="125"/>
      <c r="D46" s="122"/>
      <c r="E46" s="122"/>
      <c r="F46" s="127">
        <f>SUM(F47)</f>
        <v>501.11700000000002</v>
      </c>
    </row>
    <row r="47" spans="1:6" s="4" customFormat="1" ht="25.5" x14ac:dyDescent="0.25">
      <c r="A47" s="128" t="s">
        <v>49</v>
      </c>
      <c r="B47" s="110" t="s">
        <v>50</v>
      </c>
      <c r="C47" s="110"/>
      <c r="D47" s="129"/>
      <c r="E47" s="129"/>
      <c r="F47" s="130">
        <f>F49</f>
        <v>501.11700000000002</v>
      </c>
    </row>
    <row r="48" spans="1:6" s="4" customFormat="1" ht="25.5" x14ac:dyDescent="0.25">
      <c r="A48" s="128" t="s">
        <v>41</v>
      </c>
      <c r="B48" s="110" t="s">
        <v>50</v>
      </c>
      <c r="C48" s="110">
        <v>200</v>
      </c>
      <c r="D48" s="129"/>
      <c r="E48" s="129"/>
      <c r="F48" s="130">
        <f>F49</f>
        <v>501.11700000000002</v>
      </c>
    </row>
    <row r="49" spans="1:6" s="4" customFormat="1" ht="27" customHeight="1" x14ac:dyDescent="0.25">
      <c r="A49" s="36" t="s">
        <v>42</v>
      </c>
      <c r="B49" s="110" t="s">
        <v>50</v>
      </c>
      <c r="C49" s="110">
        <v>240</v>
      </c>
      <c r="D49" s="129"/>
      <c r="E49" s="129"/>
      <c r="F49" s="130">
        <f>F50</f>
        <v>501.11700000000002</v>
      </c>
    </row>
    <row r="50" spans="1:6" s="4" customFormat="1" ht="24" customHeight="1" x14ac:dyDescent="0.25">
      <c r="A50" s="128" t="s">
        <v>38</v>
      </c>
      <c r="B50" s="110" t="s">
        <v>50</v>
      </c>
      <c r="C50" s="110">
        <v>240</v>
      </c>
      <c r="D50" s="129" t="s">
        <v>39</v>
      </c>
      <c r="E50" s="129" t="s">
        <v>40</v>
      </c>
      <c r="F50" s="130">
        <f>650-86.4-62.483</f>
        <v>501.11700000000002</v>
      </c>
    </row>
    <row r="51" spans="1:6" s="4" customFormat="1" ht="51" x14ac:dyDescent="0.25">
      <c r="A51" s="117" t="s">
        <v>480</v>
      </c>
      <c r="B51" s="19" t="s">
        <v>474</v>
      </c>
      <c r="C51" s="111"/>
      <c r="D51" s="118"/>
      <c r="E51" s="118"/>
      <c r="F51" s="119">
        <f>F52</f>
        <v>33.695999999999998</v>
      </c>
    </row>
    <row r="52" spans="1:6" s="4" customFormat="1" ht="60.75" customHeight="1" x14ac:dyDescent="0.25">
      <c r="A52" s="131" t="s">
        <v>475</v>
      </c>
      <c r="B52" s="125" t="s">
        <v>476</v>
      </c>
      <c r="C52" s="125"/>
      <c r="D52" s="122"/>
      <c r="E52" s="122"/>
      <c r="F52" s="127">
        <f>SUM(F53)</f>
        <v>33.695999999999998</v>
      </c>
    </row>
    <row r="53" spans="1:6" s="4" customFormat="1" ht="25.5" x14ac:dyDescent="0.25">
      <c r="A53" s="128" t="s">
        <v>478</v>
      </c>
      <c r="B53" s="39" t="s">
        <v>477</v>
      </c>
      <c r="C53" s="110"/>
      <c r="D53" s="129"/>
      <c r="E53" s="129"/>
      <c r="F53" s="130">
        <f>F55</f>
        <v>33.695999999999998</v>
      </c>
    </row>
    <row r="54" spans="1:6" s="4" customFormat="1" ht="25.5" x14ac:dyDescent="0.25">
      <c r="A54" s="128" t="s">
        <v>41</v>
      </c>
      <c r="B54" s="39" t="s">
        <v>477</v>
      </c>
      <c r="C54" s="110">
        <v>200</v>
      </c>
      <c r="D54" s="129"/>
      <c r="E54" s="129"/>
      <c r="F54" s="130">
        <f>F55</f>
        <v>33.695999999999998</v>
      </c>
    </row>
    <row r="55" spans="1:6" s="4" customFormat="1" ht="25.5" x14ac:dyDescent="0.25">
      <c r="A55" s="36" t="s">
        <v>42</v>
      </c>
      <c r="B55" s="39" t="s">
        <v>477</v>
      </c>
      <c r="C55" s="110">
        <v>240</v>
      </c>
      <c r="D55" s="129"/>
      <c r="E55" s="129"/>
      <c r="F55" s="130">
        <f>F56</f>
        <v>33.695999999999998</v>
      </c>
    </row>
    <row r="56" spans="1:6" s="4" customFormat="1" ht="19.149999999999999" customHeight="1" x14ac:dyDescent="0.25">
      <c r="A56" s="132" t="s">
        <v>51</v>
      </c>
      <c r="B56" s="39" t="s">
        <v>477</v>
      </c>
      <c r="C56" s="110">
        <v>240</v>
      </c>
      <c r="D56" s="129" t="s">
        <v>52</v>
      </c>
      <c r="E56" s="129" t="s">
        <v>53</v>
      </c>
      <c r="F56" s="130">
        <f>30.7+31+0.3-28.304</f>
        <v>33.695999999999998</v>
      </c>
    </row>
    <row r="57" spans="1:6" s="107" customFormat="1" ht="65.25" customHeight="1" x14ac:dyDescent="0.25">
      <c r="A57" s="117" t="s">
        <v>356</v>
      </c>
      <c r="B57" s="111" t="s">
        <v>54</v>
      </c>
      <c r="C57" s="111"/>
      <c r="D57" s="129"/>
      <c r="E57" s="129"/>
      <c r="F57" s="119">
        <f>F60</f>
        <v>1517.239</v>
      </c>
    </row>
    <row r="58" spans="1:6" s="107" customFormat="1" ht="59.85" hidden="1" customHeight="1" x14ac:dyDescent="0.25">
      <c r="A58" s="124" t="s">
        <v>345</v>
      </c>
      <c r="B58" s="125" t="s">
        <v>56</v>
      </c>
      <c r="C58" s="125"/>
      <c r="D58" s="122"/>
      <c r="E58" s="122"/>
      <c r="F58" s="127">
        <f>F59</f>
        <v>0</v>
      </c>
    </row>
    <row r="59" spans="1:6" s="107" customFormat="1" ht="27.95" hidden="1" customHeight="1" x14ac:dyDescent="0.25">
      <c r="A59" s="124" t="s">
        <v>57</v>
      </c>
      <c r="B59" s="125" t="s">
        <v>58</v>
      </c>
      <c r="C59" s="125"/>
      <c r="D59" s="122"/>
      <c r="E59" s="122"/>
      <c r="F59" s="127">
        <v>0</v>
      </c>
    </row>
    <row r="60" spans="1:6" s="107" customFormat="1" ht="48.2" customHeight="1" x14ac:dyDescent="0.25">
      <c r="A60" s="128" t="s">
        <v>357</v>
      </c>
      <c r="B60" s="16" t="s">
        <v>434</v>
      </c>
      <c r="C60" s="110"/>
      <c r="D60" s="129"/>
      <c r="E60" s="129"/>
      <c r="F60" s="130">
        <f>F61</f>
        <v>1517.239</v>
      </c>
    </row>
    <row r="61" spans="1:6" s="107" customFormat="1" ht="21.2" customHeight="1" x14ac:dyDescent="0.25">
      <c r="A61" s="128" t="s">
        <v>61</v>
      </c>
      <c r="B61" s="16" t="s">
        <v>434</v>
      </c>
      <c r="C61" s="110">
        <v>300</v>
      </c>
      <c r="D61" s="110"/>
      <c r="E61" s="110"/>
      <c r="F61" s="130">
        <f>F62</f>
        <v>1517.239</v>
      </c>
    </row>
    <row r="62" spans="1:6" s="107" customFormat="1" ht="31.5" customHeight="1" x14ac:dyDescent="0.25">
      <c r="A62" s="128" t="s">
        <v>62</v>
      </c>
      <c r="B62" s="16" t="s">
        <v>434</v>
      </c>
      <c r="C62" s="110">
        <v>320</v>
      </c>
      <c r="D62" s="110"/>
      <c r="E62" s="129"/>
      <c r="F62" s="130">
        <f>F81</f>
        <v>1517.239</v>
      </c>
    </row>
    <row r="63" spans="1:6" s="107" customFormat="1" ht="21.75" hidden="1" customHeight="1" x14ac:dyDescent="0.25">
      <c r="A63" s="128" t="s">
        <v>63</v>
      </c>
      <c r="B63" s="110" t="s">
        <v>301</v>
      </c>
      <c r="C63" s="110">
        <v>320</v>
      </c>
      <c r="D63" s="110">
        <v>10</v>
      </c>
      <c r="E63" s="129" t="s">
        <v>64</v>
      </c>
      <c r="F63" s="130">
        <v>0</v>
      </c>
    </row>
    <row r="64" spans="1:6" s="107" customFormat="1" ht="17.649999999999999" hidden="1" customHeight="1" x14ac:dyDescent="0.25">
      <c r="A64" s="128" t="s">
        <v>59</v>
      </c>
      <c r="B64" s="110" t="s">
        <v>60</v>
      </c>
      <c r="C64" s="110"/>
      <c r="D64" s="129"/>
      <c r="E64" s="129"/>
      <c r="F64" s="130">
        <f>F65</f>
        <v>0</v>
      </c>
    </row>
    <row r="65" spans="1:6" s="107" customFormat="1" ht="21.2" hidden="1" customHeight="1" x14ac:dyDescent="0.25">
      <c r="A65" s="128" t="s">
        <v>61</v>
      </c>
      <c r="B65" s="110" t="s">
        <v>60</v>
      </c>
      <c r="C65" s="110">
        <v>300</v>
      </c>
      <c r="D65" s="110"/>
      <c r="E65" s="110"/>
      <c r="F65" s="130">
        <f>F66</f>
        <v>0</v>
      </c>
    </row>
    <row r="66" spans="1:6" s="107" customFormat="1" ht="22.5" hidden="1" customHeight="1" x14ac:dyDescent="0.25">
      <c r="A66" s="128" t="s">
        <v>62</v>
      </c>
      <c r="B66" s="110" t="s">
        <v>60</v>
      </c>
      <c r="C66" s="110">
        <v>320</v>
      </c>
      <c r="D66" s="110"/>
      <c r="E66" s="110"/>
      <c r="F66" s="130">
        <f>F67</f>
        <v>0</v>
      </c>
    </row>
    <row r="67" spans="1:6" s="107" customFormat="1" ht="24.4" hidden="1" customHeight="1" x14ac:dyDescent="0.25">
      <c r="A67" s="128" t="s">
        <v>63</v>
      </c>
      <c r="B67" s="110" t="s">
        <v>60</v>
      </c>
      <c r="C67" s="110">
        <v>320</v>
      </c>
      <c r="D67" s="129" t="s">
        <v>236</v>
      </c>
      <c r="E67" s="129" t="s">
        <v>64</v>
      </c>
      <c r="F67" s="130">
        <v>0</v>
      </c>
    </row>
    <row r="68" spans="1:6" s="107" customFormat="1" ht="25.9" hidden="1" customHeight="1" x14ac:dyDescent="0.25">
      <c r="A68" s="128" t="s">
        <v>283</v>
      </c>
      <c r="B68" s="110" t="s">
        <v>60</v>
      </c>
      <c r="C68" s="110"/>
      <c r="D68" s="129"/>
      <c r="E68" s="129"/>
      <c r="F68" s="130">
        <f>F69</f>
        <v>0</v>
      </c>
    </row>
    <row r="69" spans="1:6" s="4" customFormat="1" ht="25.9" hidden="1" customHeight="1" x14ac:dyDescent="0.25">
      <c r="A69" s="128" t="s">
        <v>61</v>
      </c>
      <c r="B69" s="110" t="s">
        <v>60</v>
      </c>
      <c r="C69" s="110">
        <v>300</v>
      </c>
      <c r="D69" s="110"/>
      <c r="E69" s="110"/>
      <c r="F69" s="130">
        <f>F70</f>
        <v>0</v>
      </c>
    </row>
    <row r="70" spans="1:6" s="4" customFormat="1" ht="23.85" hidden="1" customHeight="1" x14ac:dyDescent="0.25">
      <c r="A70" s="128" t="s">
        <v>62</v>
      </c>
      <c r="B70" s="110" t="s">
        <v>60</v>
      </c>
      <c r="C70" s="110">
        <v>320</v>
      </c>
      <c r="D70" s="110"/>
      <c r="E70" s="110"/>
      <c r="F70" s="130">
        <f>F71</f>
        <v>0</v>
      </c>
    </row>
    <row r="71" spans="1:6" s="4" customFormat="1" ht="21.2" hidden="1" customHeight="1" x14ac:dyDescent="0.25">
      <c r="A71" s="128" t="s">
        <v>63</v>
      </c>
      <c r="B71" s="110" t="s">
        <v>60</v>
      </c>
      <c r="C71" s="110">
        <v>320</v>
      </c>
      <c r="D71" s="110">
        <v>10</v>
      </c>
      <c r="E71" s="129" t="s">
        <v>64</v>
      </c>
      <c r="F71" s="130"/>
    </row>
    <row r="72" spans="1:6" s="4" customFormat="1" ht="23.1" hidden="1" customHeight="1" x14ac:dyDescent="0.25">
      <c r="A72" s="120" t="s">
        <v>65</v>
      </c>
      <c r="B72" s="126" t="s">
        <v>66</v>
      </c>
      <c r="C72" s="110"/>
      <c r="D72" s="110"/>
      <c r="E72" s="129"/>
      <c r="F72" s="123">
        <f>F73</f>
        <v>1517.239</v>
      </c>
    </row>
    <row r="73" spans="1:6" s="4" customFormat="1" ht="25.15" hidden="1" customHeight="1" x14ac:dyDescent="0.25">
      <c r="A73" s="124" t="s">
        <v>67</v>
      </c>
      <c r="B73" s="125" t="s">
        <v>68</v>
      </c>
      <c r="C73" s="125"/>
      <c r="D73" s="125"/>
      <c r="E73" s="122"/>
      <c r="F73" s="127">
        <f>F74+F78</f>
        <v>1517.239</v>
      </c>
    </row>
    <row r="74" spans="1:6" s="4" customFormat="1" ht="32.65" hidden="1" customHeight="1" x14ac:dyDescent="0.25">
      <c r="A74" s="133" t="s">
        <v>69</v>
      </c>
      <c r="B74" s="110" t="s">
        <v>70</v>
      </c>
      <c r="C74" s="110"/>
      <c r="D74" s="110"/>
      <c r="E74" s="129"/>
      <c r="F74" s="130">
        <f>F75</f>
        <v>0</v>
      </c>
    </row>
    <row r="75" spans="1:6" s="4" customFormat="1" ht="23.1" hidden="1" customHeight="1" x14ac:dyDescent="0.25">
      <c r="A75" s="128" t="s">
        <v>61</v>
      </c>
      <c r="B75" s="110" t="s">
        <v>70</v>
      </c>
      <c r="C75" s="110">
        <v>300</v>
      </c>
      <c r="D75" s="110"/>
      <c r="E75" s="110"/>
      <c r="F75" s="130">
        <f>F76</f>
        <v>0</v>
      </c>
    </row>
    <row r="76" spans="1:6" s="4" customFormat="1" ht="26.45" hidden="1" customHeight="1" x14ac:dyDescent="0.25">
      <c r="A76" s="128" t="s">
        <v>62</v>
      </c>
      <c r="B76" s="110" t="s">
        <v>70</v>
      </c>
      <c r="C76" s="110">
        <v>320</v>
      </c>
      <c r="D76" s="110"/>
      <c r="E76" s="110"/>
      <c r="F76" s="130">
        <f>F77</f>
        <v>0</v>
      </c>
    </row>
    <row r="77" spans="1:6" s="4" customFormat="1" ht="32.65" hidden="1" customHeight="1" x14ac:dyDescent="0.25">
      <c r="A77" s="128" t="s">
        <v>63</v>
      </c>
      <c r="B77" s="110" t="s">
        <v>70</v>
      </c>
      <c r="C77" s="110">
        <v>320</v>
      </c>
      <c r="D77" s="110">
        <v>10</v>
      </c>
      <c r="E77" s="129" t="s">
        <v>64</v>
      </c>
      <c r="F77" s="130">
        <v>0</v>
      </c>
    </row>
    <row r="78" spans="1:6" s="107" customFormat="1" ht="30.6" hidden="1" customHeight="1" x14ac:dyDescent="0.25">
      <c r="A78" s="128" t="s">
        <v>69</v>
      </c>
      <c r="B78" s="110" t="s">
        <v>70</v>
      </c>
      <c r="C78" s="110"/>
      <c r="D78" s="110"/>
      <c r="E78" s="129"/>
      <c r="F78" s="130">
        <f>F79</f>
        <v>1517.239</v>
      </c>
    </row>
    <row r="79" spans="1:6" s="107" customFormat="1" ht="8.25" hidden="1" customHeight="1" x14ac:dyDescent="0.25">
      <c r="A79" s="128" t="s">
        <v>61</v>
      </c>
      <c r="B79" s="110" t="s">
        <v>70</v>
      </c>
      <c r="C79" s="110">
        <v>300</v>
      </c>
      <c r="D79" s="110"/>
      <c r="E79" s="110"/>
      <c r="F79" s="130">
        <f>F80</f>
        <v>1517.239</v>
      </c>
    </row>
    <row r="80" spans="1:6" s="107" customFormat="1" ht="7.5" hidden="1" customHeight="1" x14ac:dyDescent="0.25">
      <c r="A80" s="128" t="s">
        <v>62</v>
      </c>
      <c r="B80" s="110" t="s">
        <v>70</v>
      </c>
      <c r="C80" s="110">
        <v>320</v>
      </c>
      <c r="D80" s="110"/>
      <c r="E80" s="110"/>
      <c r="F80" s="130">
        <f>F81</f>
        <v>1517.239</v>
      </c>
    </row>
    <row r="81" spans="1:6" s="107" customFormat="1" ht="24.75" customHeight="1" x14ac:dyDescent="0.25">
      <c r="A81" s="128" t="s">
        <v>435</v>
      </c>
      <c r="B81" s="16" t="s">
        <v>434</v>
      </c>
      <c r="C81" s="110">
        <v>320</v>
      </c>
      <c r="D81" s="129" t="s">
        <v>236</v>
      </c>
      <c r="E81" s="129" t="s">
        <v>52</v>
      </c>
      <c r="F81" s="130">
        <f>1330.949+1395.859-1209.569</f>
        <v>1517.239</v>
      </c>
    </row>
    <row r="82" spans="1:6" s="4" customFormat="1" ht="38.25" x14ac:dyDescent="0.25">
      <c r="A82" s="117" t="s">
        <v>71</v>
      </c>
      <c r="B82" s="111" t="s">
        <v>72</v>
      </c>
      <c r="C82" s="111"/>
      <c r="D82" s="118"/>
      <c r="E82" s="118"/>
      <c r="F82" s="119">
        <f>F83+F94+F118</f>
        <v>32328.15</v>
      </c>
    </row>
    <row r="83" spans="1:6" s="4" customFormat="1" ht="27" x14ac:dyDescent="0.25">
      <c r="A83" s="120" t="s">
        <v>73</v>
      </c>
      <c r="B83" s="126" t="s">
        <v>74</v>
      </c>
      <c r="C83" s="126"/>
      <c r="D83" s="122"/>
      <c r="E83" s="122"/>
      <c r="F83" s="123">
        <f>F84+F89</f>
        <v>702.13</v>
      </c>
    </row>
    <row r="84" spans="1:6" s="107" customFormat="1" ht="25.5" x14ac:dyDescent="0.25">
      <c r="A84" s="124" t="s">
        <v>75</v>
      </c>
      <c r="B84" s="125" t="s">
        <v>76</v>
      </c>
      <c r="C84" s="125"/>
      <c r="D84" s="122"/>
      <c r="E84" s="122"/>
      <c r="F84" s="127">
        <f>F87</f>
        <v>343.68</v>
      </c>
    </row>
    <row r="85" spans="1:6" s="107" customFormat="1" ht="15.75" x14ac:dyDescent="0.25">
      <c r="A85" s="128" t="s">
        <v>77</v>
      </c>
      <c r="B85" s="110" t="s">
        <v>78</v>
      </c>
      <c r="C85" s="110"/>
      <c r="D85" s="129"/>
      <c r="E85" s="129"/>
      <c r="F85" s="130">
        <f>F88</f>
        <v>343.68</v>
      </c>
    </row>
    <row r="86" spans="1:6" s="107" customFormat="1" ht="25.5" x14ac:dyDescent="0.25">
      <c r="A86" s="128" t="s">
        <v>41</v>
      </c>
      <c r="B86" s="110" t="s">
        <v>78</v>
      </c>
      <c r="C86" s="110">
        <v>200</v>
      </c>
      <c r="D86" s="129"/>
      <c r="E86" s="129"/>
      <c r="F86" s="130">
        <f>F87</f>
        <v>343.68</v>
      </c>
    </row>
    <row r="87" spans="1:6" s="107" customFormat="1" ht="25.5" x14ac:dyDescent="0.25">
      <c r="A87" s="36" t="s">
        <v>42</v>
      </c>
      <c r="B87" s="110" t="s">
        <v>78</v>
      </c>
      <c r="C87" s="110">
        <v>240</v>
      </c>
      <c r="D87" s="129"/>
      <c r="E87" s="129"/>
      <c r="F87" s="130">
        <f>F88</f>
        <v>343.68</v>
      </c>
    </row>
    <row r="88" spans="1:6" s="107" customFormat="1" ht="15.75" x14ac:dyDescent="0.25">
      <c r="A88" s="128" t="s">
        <v>312</v>
      </c>
      <c r="B88" s="110" t="s">
        <v>78</v>
      </c>
      <c r="C88" s="110">
        <v>240</v>
      </c>
      <c r="D88" s="129" t="s">
        <v>80</v>
      </c>
      <c r="E88" s="129" t="s">
        <v>80</v>
      </c>
      <c r="F88" s="130">
        <v>343.68</v>
      </c>
    </row>
    <row r="89" spans="1:6" s="4" customFormat="1" ht="25.5" x14ac:dyDescent="0.25">
      <c r="A89" s="31" t="s">
        <v>81</v>
      </c>
      <c r="B89" s="125" t="s">
        <v>82</v>
      </c>
      <c r="C89" s="125"/>
      <c r="D89" s="122"/>
      <c r="E89" s="122"/>
      <c r="F89" s="127">
        <f>SUM(F92)</f>
        <v>358.45</v>
      </c>
    </row>
    <row r="90" spans="1:6" s="4" customFormat="1" ht="21.75" customHeight="1" x14ac:dyDescent="0.25">
      <c r="A90" s="128" t="s">
        <v>83</v>
      </c>
      <c r="B90" s="110" t="s">
        <v>84</v>
      </c>
      <c r="C90" s="110"/>
      <c r="D90" s="129"/>
      <c r="E90" s="129"/>
      <c r="F90" s="130">
        <f>F93</f>
        <v>358.45</v>
      </c>
    </row>
    <row r="91" spans="1:6" s="4" customFormat="1" ht="25.5" x14ac:dyDescent="0.25">
      <c r="A91" s="128" t="s">
        <v>41</v>
      </c>
      <c r="B91" s="110" t="s">
        <v>84</v>
      </c>
      <c r="C91" s="110">
        <v>200</v>
      </c>
      <c r="D91" s="129"/>
      <c r="E91" s="129"/>
      <c r="F91" s="130">
        <f>F92</f>
        <v>358.45</v>
      </c>
    </row>
    <row r="92" spans="1:6" s="4" customFormat="1" ht="25.5" x14ac:dyDescent="0.25">
      <c r="A92" s="36" t="s">
        <v>42</v>
      </c>
      <c r="B92" s="110" t="s">
        <v>84</v>
      </c>
      <c r="C92" s="110">
        <v>240</v>
      </c>
      <c r="D92" s="129"/>
      <c r="E92" s="129"/>
      <c r="F92" s="130">
        <f>F93</f>
        <v>358.45</v>
      </c>
    </row>
    <row r="93" spans="1:6" s="4" customFormat="1" ht="21.75" customHeight="1" x14ac:dyDescent="0.25">
      <c r="A93" s="128" t="s">
        <v>79</v>
      </c>
      <c r="B93" s="110" t="s">
        <v>84</v>
      </c>
      <c r="C93" s="110">
        <v>240</v>
      </c>
      <c r="D93" s="129" t="s">
        <v>80</v>
      </c>
      <c r="E93" s="129" t="s">
        <v>80</v>
      </c>
      <c r="F93" s="130">
        <v>358.45</v>
      </c>
    </row>
    <row r="94" spans="1:6" s="4" customFormat="1" ht="40.5" x14ac:dyDescent="0.25">
      <c r="A94" s="120" t="s">
        <v>85</v>
      </c>
      <c r="B94" s="126" t="s">
        <v>86</v>
      </c>
      <c r="C94" s="126"/>
      <c r="D94" s="122"/>
      <c r="E94" s="122"/>
      <c r="F94" s="123">
        <f>F95</f>
        <v>30148.875</v>
      </c>
    </row>
    <row r="95" spans="1:6" s="4" customFormat="1" ht="25.5" x14ac:dyDescent="0.25">
      <c r="A95" s="124" t="s">
        <v>87</v>
      </c>
      <c r="B95" s="125" t="s">
        <v>88</v>
      </c>
      <c r="C95" s="125"/>
      <c r="D95" s="122"/>
      <c r="E95" s="122"/>
      <c r="F95" s="127">
        <f>F96+F114+F110</f>
        <v>30148.875</v>
      </c>
    </row>
    <row r="96" spans="1:6" s="4" customFormat="1" ht="25.5" x14ac:dyDescent="0.25">
      <c r="A96" s="128" t="s">
        <v>34</v>
      </c>
      <c r="B96" s="110" t="s">
        <v>89</v>
      </c>
      <c r="C96" s="110"/>
      <c r="D96" s="129"/>
      <c r="E96" s="129"/>
      <c r="F96" s="130">
        <f>F97+F100+F107</f>
        <v>20563.475000000002</v>
      </c>
    </row>
    <row r="97" spans="1:6" s="4" customFormat="1" ht="51" x14ac:dyDescent="0.25">
      <c r="A97" s="128" t="s">
        <v>36</v>
      </c>
      <c r="B97" s="110" t="s">
        <v>89</v>
      </c>
      <c r="C97" s="110">
        <v>100</v>
      </c>
      <c r="D97" s="129"/>
      <c r="E97" s="129"/>
      <c r="F97" s="130">
        <f>F98</f>
        <v>13438.02</v>
      </c>
    </row>
    <row r="98" spans="1:6" s="4" customFormat="1" ht="15.75" x14ac:dyDescent="0.25">
      <c r="A98" s="36" t="s">
        <v>37</v>
      </c>
      <c r="B98" s="110" t="s">
        <v>89</v>
      </c>
      <c r="C98" s="110">
        <v>110</v>
      </c>
      <c r="D98" s="129"/>
      <c r="E98" s="129"/>
      <c r="F98" s="130">
        <f>F99</f>
        <v>13438.02</v>
      </c>
    </row>
    <row r="99" spans="1:6" s="4" customFormat="1" ht="25.5" customHeight="1" x14ac:dyDescent="0.25">
      <c r="A99" s="128" t="s">
        <v>90</v>
      </c>
      <c r="B99" s="110" t="s">
        <v>89</v>
      </c>
      <c r="C99" s="110">
        <v>110</v>
      </c>
      <c r="D99" s="129" t="s">
        <v>91</v>
      </c>
      <c r="E99" s="129" t="s">
        <v>40</v>
      </c>
      <c r="F99" s="130">
        <v>13438.02</v>
      </c>
    </row>
    <row r="100" spans="1:6" s="4" customFormat="1" ht="25.5" x14ac:dyDescent="0.25">
      <c r="A100" s="128" t="s">
        <v>41</v>
      </c>
      <c r="B100" s="110" t="s">
        <v>89</v>
      </c>
      <c r="C100" s="110">
        <v>200</v>
      </c>
      <c r="D100" s="129"/>
      <c r="E100" s="129"/>
      <c r="F100" s="130">
        <f>F101</f>
        <v>7124.4550000000008</v>
      </c>
    </row>
    <row r="101" spans="1:6" s="4" customFormat="1" ht="25.5" x14ac:dyDescent="0.25">
      <c r="A101" s="36" t="s">
        <v>42</v>
      </c>
      <c r="B101" s="110" t="s">
        <v>89</v>
      </c>
      <c r="C101" s="110">
        <v>240</v>
      </c>
      <c r="D101" s="129"/>
      <c r="E101" s="129"/>
      <c r="F101" s="130">
        <f>F102</f>
        <v>7124.4550000000008</v>
      </c>
    </row>
    <row r="102" spans="1:6" s="4" customFormat="1" ht="22.5" customHeight="1" x14ac:dyDescent="0.25">
      <c r="A102" s="128" t="s">
        <v>90</v>
      </c>
      <c r="B102" s="110" t="s">
        <v>89</v>
      </c>
      <c r="C102" s="110">
        <v>240</v>
      </c>
      <c r="D102" s="129" t="s">
        <v>91</v>
      </c>
      <c r="E102" s="129" t="s">
        <v>40</v>
      </c>
      <c r="F102" s="130">
        <f>6556.055+200-204.834+393.234+180</f>
        <v>7124.4550000000008</v>
      </c>
    </row>
    <row r="103" spans="1:6" s="4" customFormat="1" ht="25.5" hidden="1" x14ac:dyDescent="0.25">
      <c r="A103" s="34" t="s">
        <v>95</v>
      </c>
      <c r="B103" s="77" t="s">
        <v>348</v>
      </c>
      <c r="C103" s="110"/>
      <c r="D103" s="129"/>
      <c r="E103" s="129"/>
      <c r="F103" s="130">
        <f>F104</f>
        <v>0</v>
      </c>
    </row>
    <row r="104" spans="1:6" s="4" customFormat="1" ht="25.5" hidden="1" x14ac:dyDescent="0.25">
      <c r="A104" s="36" t="s">
        <v>41</v>
      </c>
      <c r="B104" s="77" t="s">
        <v>348</v>
      </c>
      <c r="C104" s="110">
        <v>200</v>
      </c>
      <c r="D104" s="129"/>
      <c r="E104" s="129"/>
      <c r="F104" s="130">
        <f>F105</f>
        <v>0</v>
      </c>
    </row>
    <row r="105" spans="1:6" s="4" customFormat="1" ht="25.5" hidden="1" x14ac:dyDescent="0.25">
      <c r="A105" s="36" t="s">
        <v>175</v>
      </c>
      <c r="B105" s="77" t="s">
        <v>348</v>
      </c>
      <c r="C105" s="110">
        <v>240</v>
      </c>
      <c r="D105" s="129"/>
      <c r="E105" s="129"/>
      <c r="F105" s="130">
        <v>0</v>
      </c>
    </row>
    <row r="106" spans="1:6" s="4" customFormat="1" ht="15.75" hidden="1" x14ac:dyDescent="0.25">
      <c r="A106" s="128" t="s">
        <v>90</v>
      </c>
      <c r="B106" s="77" t="s">
        <v>348</v>
      </c>
      <c r="C106" s="110">
        <v>240</v>
      </c>
      <c r="D106" s="129" t="s">
        <v>91</v>
      </c>
      <c r="E106" s="129" t="s">
        <v>40</v>
      </c>
      <c r="F106" s="130">
        <v>0</v>
      </c>
    </row>
    <row r="107" spans="1:6" s="4" customFormat="1" ht="21" customHeight="1" x14ac:dyDescent="0.25">
      <c r="A107" s="128" t="s">
        <v>43</v>
      </c>
      <c r="B107" s="110" t="s">
        <v>89</v>
      </c>
      <c r="C107" s="110">
        <v>800</v>
      </c>
      <c r="D107" s="129"/>
      <c r="E107" s="129"/>
      <c r="F107" s="130">
        <v>1</v>
      </c>
    </row>
    <row r="108" spans="1:6" s="4" customFormat="1" ht="23.25" customHeight="1" x14ac:dyDescent="0.25">
      <c r="A108" s="62" t="s">
        <v>44</v>
      </c>
      <c r="B108" s="110" t="s">
        <v>89</v>
      </c>
      <c r="C108" s="110">
        <v>850</v>
      </c>
      <c r="D108" s="129"/>
      <c r="E108" s="129"/>
      <c r="F108" s="130">
        <v>1</v>
      </c>
    </row>
    <row r="109" spans="1:6" s="4" customFormat="1" ht="27.75" customHeight="1" x14ac:dyDescent="0.25">
      <c r="A109" s="128" t="s">
        <v>90</v>
      </c>
      <c r="B109" s="110" t="s">
        <v>89</v>
      </c>
      <c r="C109" s="110">
        <v>850</v>
      </c>
      <c r="D109" s="129" t="s">
        <v>91</v>
      </c>
      <c r="E109" s="129" t="s">
        <v>40</v>
      </c>
      <c r="F109" s="130">
        <v>1</v>
      </c>
    </row>
    <row r="110" spans="1:6" s="4" customFormat="1" ht="25.5" hidden="1" x14ac:dyDescent="0.25">
      <c r="A110" s="34" t="s">
        <v>350</v>
      </c>
      <c r="B110" s="77" t="s">
        <v>358</v>
      </c>
      <c r="C110" s="110"/>
      <c r="D110" s="129"/>
      <c r="E110" s="129"/>
      <c r="F110" s="130">
        <v>0</v>
      </c>
    </row>
    <row r="111" spans="1:6" s="4" customFormat="1" ht="25.5" hidden="1" x14ac:dyDescent="0.25">
      <c r="A111" s="36" t="s">
        <v>41</v>
      </c>
      <c r="B111" s="77" t="s">
        <v>358</v>
      </c>
      <c r="C111" s="110">
        <v>200</v>
      </c>
      <c r="D111" s="129"/>
      <c r="E111" s="129"/>
      <c r="F111" s="130">
        <v>0</v>
      </c>
    </row>
    <row r="112" spans="1:6" s="4" customFormat="1" ht="25.5" hidden="1" x14ac:dyDescent="0.25">
      <c r="A112" s="36" t="s">
        <v>175</v>
      </c>
      <c r="B112" s="77" t="s">
        <v>358</v>
      </c>
      <c r="C112" s="110">
        <v>240</v>
      </c>
      <c r="D112" s="129"/>
      <c r="E112" s="129"/>
      <c r="F112" s="130">
        <v>0</v>
      </c>
    </row>
    <row r="113" spans="1:6" s="4" customFormat="1" ht="9" hidden="1" customHeight="1" x14ac:dyDescent="0.25">
      <c r="A113" s="128" t="s">
        <v>90</v>
      </c>
      <c r="B113" s="77" t="s">
        <v>358</v>
      </c>
      <c r="C113" s="110">
        <v>240</v>
      </c>
      <c r="D113" s="129" t="s">
        <v>91</v>
      </c>
      <c r="E113" s="129" t="s">
        <v>40</v>
      </c>
      <c r="F113" s="130">
        <v>0</v>
      </c>
    </row>
    <row r="114" spans="1:6" s="4" customFormat="1" ht="63.75" x14ac:dyDescent="0.25">
      <c r="A114" s="128" t="s">
        <v>473</v>
      </c>
      <c r="B114" s="110" t="s">
        <v>92</v>
      </c>
      <c r="C114" s="110"/>
      <c r="D114" s="129"/>
      <c r="E114" s="129"/>
      <c r="F114" s="130">
        <f>F115</f>
        <v>9585.3999999999978</v>
      </c>
    </row>
    <row r="115" spans="1:6" s="4" customFormat="1" ht="51" x14ac:dyDescent="0.25">
      <c r="A115" s="128" t="s">
        <v>36</v>
      </c>
      <c r="B115" s="110" t="s">
        <v>92</v>
      </c>
      <c r="C115" s="110">
        <v>100</v>
      </c>
      <c r="D115" s="129"/>
      <c r="E115" s="129"/>
      <c r="F115" s="130">
        <f>F116</f>
        <v>9585.3999999999978</v>
      </c>
    </row>
    <row r="116" spans="1:6" s="4" customFormat="1" ht="15.75" x14ac:dyDescent="0.25">
      <c r="A116" s="36" t="s">
        <v>37</v>
      </c>
      <c r="B116" s="110" t="s">
        <v>92</v>
      </c>
      <c r="C116" s="110">
        <v>110</v>
      </c>
      <c r="D116" s="129"/>
      <c r="E116" s="129"/>
      <c r="F116" s="130">
        <f>F117</f>
        <v>9585.3999999999978</v>
      </c>
    </row>
    <row r="117" spans="1:6" s="4" customFormat="1" ht="24.75" customHeight="1" x14ac:dyDescent="0.25">
      <c r="A117" s="128" t="s">
        <v>90</v>
      </c>
      <c r="B117" s="110" t="s">
        <v>92</v>
      </c>
      <c r="C117" s="110">
        <v>110</v>
      </c>
      <c r="D117" s="129" t="s">
        <v>91</v>
      </c>
      <c r="E117" s="129" t="s">
        <v>40</v>
      </c>
      <c r="F117" s="130">
        <f>9915.8-165.2-165.2</f>
        <v>9585.3999999999978</v>
      </c>
    </row>
    <row r="118" spans="1:6" s="4" customFormat="1" ht="40.5" x14ac:dyDescent="0.25">
      <c r="A118" s="120" t="s">
        <v>93</v>
      </c>
      <c r="B118" s="126" t="s">
        <v>94</v>
      </c>
      <c r="C118" s="126"/>
      <c r="D118" s="122"/>
      <c r="E118" s="122"/>
      <c r="F118" s="123">
        <f>F119</f>
        <v>1477.145</v>
      </c>
    </row>
    <row r="119" spans="1:6" s="4" customFormat="1" ht="25.5" x14ac:dyDescent="0.25">
      <c r="A119" s="124" t="s">
        <v>95</v>
      </c>
      <c r="B119" s="125" t="s">
        <v>96</v>
      </c>
      <c r="C119" s="125"/>
      <c r="D119" s="122"/>
      <c r="E119" s="122"/>
      <c r="F119" s="127">
        <f>SUM(F122)</f>
        <v>1477.145</v>
      </c>
    </row>
    <row r="120" spans="1:6" s="4" customFormat="1" ht="21.75" customHeight="1" x14ac:dyDescent="0.25">
      <c r="A120" s="128" t="s">
        <v>97</v>
      </c>
      <c r="B120" s="110" t="s">
        <v>98</v>
      </c>
      <c r="C120" s="125"/>
      <c r="D120" s="122"/>
      <c r="E120" s="122"/>
      <c r="F120" s="130">
        <f>F121</f>
        <v>1477.145</v>
      </c>
    </row>
    <row r="121" spans="1:6" s="4" customFormat="1" ht="25.5" x14ac:dyDescent="0.25">
      <c r="A121" s="128" t="s">
        <v>41</v>
      </c>
      <c r="B121" s="110" t="s">
        <v>98</v>
      </c>
      <c r="C121" s="110">
        <v>200</v>
      </c>
      <c r="D121" s="122"/>
      <c r="E121" s="122"/>
      <c r="F121" s="130">
        <f>F122</f>
        <v>1477.145</v>
      </c>
    </row>
    <row r="122" spans="1:6" s="4" customFormat="1" ht="25.5" x14ac:dyDescent="0.25">
      <c r="A122" s="36" t="s">
        <v>42</v>
      </c>
      <c r="B122" s="110" t="s">
        <v>98</v>
      </c>
      <c r="C122" s="110">
        <v>240</v>
      </c>
      <c r="D122" s="129"/>
      <c r="E122" s="129"/>
      <c r="F122" s="130">
        <f>F123</f>
        <v>1477.145</v>
      </c>
    </row>
    <row r="123" spans="1:6" s="4" customFormat="1" ht="15.75" x14ac:dyDescent="0.25">
      <c r="A123" s="128" t="s">
        <v>90</v>
      </c>
      <c r="B123" s="110" t="s">
        <v>98</v>
      </c>
      <c r="C123" s="110">
        <v>240</v>
      </c>
      <c r="D123" s="129" t="s">
        <v>91</v>
      </c>
      <c r="E123" s="129" t="s">
        <v>40</v>
      </c>
      <c r="F123" s="130">
        <f>1541.875+671-342.496-393.234</f>
        <v>1477.145</v>
      </c>
    </row>
    <row r="124" spans="1:6" s="4" customFormat="1" ht="38.25" x14ac:dyDescent="0.25">
      <c r="A124" s="117" t="s">
        <v>99</v>
      </c>
      <c r="B124" s="111" t="s">
        <v>100</v>
      </c>
      <c r="C124" s="111"/>
      <c r="D124" s="118"/>
      <c r="E124" s="118"/>
      <c r="F124" s="119">
        <f>F125</f>
        <v>752.40000000000009</v>
      </c>
    </row>
    <row r="125" spans="1:6" s="4" customFormat="1" ht="67.5" x14ac:dyDescent="0.25">
      <c r="A125" s="26" t="s">
        <v>101</v>
      </c>
      <c r="B125" s="134" t="s">
        <v>102</v>
      </c>
      <c r="C125" s="126"/>
      <c r="D125" s="122"/>
      <c r="E125" s="122"/>
      <c r="F125" s="123">
        <f>F126+F131</f>
        <v>752.40000000000009</v>
      </c>
    </row>
    <row r="126" spans="1:6" s="4" customFormat="1" ht="38.25" x14ac:dyDescent="0.25">
      <c r="A126" s="31" t="s">
        <v>103</v>
      </c>
      <c r="B126" s="135" t="s">
        <v>104</v>
      </c>
      <c r="C126" s="125"/>
      <c r="D126" s="122"/>
      <c r="E126" s="122"/>
      <c r="F126" s="127">
        <f>F127</f>
        <v>141.99999999999997</v>
      </c>
    </row>
    <row r="127" spans="1:6" s="4" customFormat="1" ht="25.5" x14ac:dyDescent="0.25">
      <c r="A127" s="34" t="s">
        <v>105</v>
      </c>
      <c r="B127" s="136" t="s">
        <v>106</v>
      </c>
      <c r="C127" s="125"/>
      <c r="D127" s="122"/>
      <c r="E127" s="122"/>
      <c r="F127" s="130">
        <f>F129</f>
        <v>141.99999999999997</v>
      </c>
    </row>
    <row r="128" spans="1:6" s="4" customFormat="1" ht="25.5" x14ac:dyDescent="0.25">
      <c r="A128" s="128" t="s">
        <v>41</v>
      </c>
      <c r="B128" s="136" t="s">
        <v>106</v>
      </c>
      <c r="C128" s="110">
        <v>200</v>
      </c>
      <c r="D128" s="122"/>
      <c r="E128" s="122"/>
      <c r="F128" s="130">
        <f>F129</f>
        <v>141.99999999999997</v>
      </c>
    </row>
    <row r="129" spans="1:6" s="4" customFormat="1" ht="25.5" x14ac:dyDescent="0.25">
      <c r="A129" s="36" t="s">
        <v>42</v>
      </c>
      <c r="B129" s="136" t="s">
        <v>106</v>
      </c>
      <c r="C129" s="110">
        <v>240</v>
      </c>
      <c r="D129" s="129"/>
      <c r="E129" s="129"/>
      <c r="F129" s="130">
        <f>F130</f>
        <v>141.99999999999997</v>
      </c>
    </row>
    <row r="130" spans="1:6" s="4" customFormat="1" ht="25.5" x14ac:dyDescent="0.25">
      <c r="A130" s="34" t="s">
        <v>107</v>
      </c>
      <c r="B130" s="136" t="s">
        <v>106</v>
      </c>
      <c r="C130" s="110">
        <v>240</v>
      </c>
      <c r="D130" s="129" t="s">
        <v>64</v>
      </c>
      <c r="E130" s="129" t="s">
        <v>236</v>
      </c>
      <c r="F130" s="130">
        <f>110+102.4+70-30.4-70-40</f>
        <v>141.99999999999997</v>
      </c>
    </row>
    <row r="131" spans="1:6" s="4" customFormat="1" ht="25.5" x14ac:dyDescent="0.25">
      <c r="A131" s="31" t="s">
        <v>109</v>
      </c>
      <c r="B131" s="125" t="s">
        <v>110</v>
      </c>
      <c r="C131" s="125"/>
      <c r="D131" s="122"/>
      <c r="E131" s="122"/>
      <c r="F131" s="127">
        <f>F132</f>
        <v>610.40000000000009</v>
      </c>
    </row>
    <row r="132" spans="1:6" s="4" customFormat="1" ht="15.75" x14ac:dyDescent="0.25">
      <c r="A132" s="34" t="s">
        <v>111</v>
      </c>
      <c r="B132" s="110" t="s">
        <v>112</v>
      </c>
      <c r="C132" s="110"/>
      <c r="D132" s="129"/>
      <c r="E132" s="129"/>
      <c r="F132" s="130">
        <f>F133</f>
        <v>610.40000000000009</v>
      </c>
    </row>
    <row r="133" spans="1:6" s="4" customFormat="1" ht="25.5" x14ac:dyDescent="0.25">
      <c r="A133" s="128" t="s">
        <v>41</v>
      </c>
      <c r="B133" s="110" t="s">
        <v>112</v>
      </c>
      <c r="C133" s="110">
        <v>200</v>
      </c>
      <c r="D133" s="129"/>
      <c r="E133" s="129"/>
      <c r="F133" s="130">
        <f>F134</f>
        <v>610.40000000000009</v>
      </c>
    </row>
    <row r="134" spans="1:6" s="4" customFormat="1" ht="25.5" x14ac:dyDescent="0.25">
      <c r="A134" s="36" t="s">
        <v>42</v>
      </c>
      <c r="B134" s="110" t="s">
        <v>112</v>
      </c>
      <c r="C134" s="110">
        <v>240</v>
      </c>
      <c r="D134" s="129"/>
      <c r="E134" s="129"/>
      <c r="F134" s="130">
        <f>F135</f>
        <v>610.40000000000009</v>
      </c>
    </row>
    <row r="135" spans="1:6" s="4" customFormat="1" ht="25.5" x14ac:dyDescent="0.25">
      <c r="A135" s="34" t="s">
        <v>107</v>
      </c>
      <c r="B135" s="110" t="s">
        <v>112</v>
      </c>
      <c r="C135" s="110">
        <v>240</v>
      </c>
      <c r="D135" s="129" t="s">
        <v>64</v>
      </c>
      <c r="E135" s="129" t="s">
        <v>236</v>
      </c>
      <c r="F135" s="130">
        <f>120+880+30.4+70+40+350-880</f>
        <v>610.40000000000009</v>
      </c>
    </row>
    <row r="136" spans="1:6" s="4" customFormat="1" ht="38.25" x14ac:dyDescent="0.25">
      <c r="A136" s="117" t="s">
        <v>113</v>
      </c>
      <c r="B136" s="111" t="s">
        <v>114</v>
      </c>
      <c r="C136" s="111"/>
      <c r="D136" s="118"/>
      <c r="E136" s="118"/>
      <c r="F136" s="119">
        <f>F137+F155</f>
        <v>28642.195</v>
      </c>
    </row>
    <row r="137" spans="1:6" s="4" customFormat="1" ht="40.5" x14ac:dyDescent="0.25">
      <c r="A137" s="120" t="s">
        <v>115</v>
      </c>
      <c r="B137" s="126" t="s">
        <v>116</v>
      </c>
      <c r="C137" s="126"/>
      <c r="D137" s="122"/>
      <c r="E137" s="122"/>
      <c r="F137" s="123">
        <f>F138+F161</f>
        <v>27992.195</v>
      </c>
    </row>
    <row r="138" spans="1:6" s="4" customFormat="1" ht="63.75" x14ac:dyDescent="0.25">
      <c r="A138" s="124" t="s">
        <v>117</v>
      </c>
      <c r="B138" s="125" t="s">
        <v>118</v>
      </c>
      <c r="C138" s="125"/>
      <c r="D138" s="122"/>
      <c r="E138" s="122"/>
      <c r="F138" s="127">
        <f>F139+F151+F143+F147</f>
        <v>18005.055</v>
      </c>
    </row>
    <row r="139" spans="1:6" s="4" customFormat="1" ht="24.75" customHeight="1" x14ac:dyDescent="0.25">
      <c r="A139" s="128" t="s">
        <v>119</v>
      </c>
      <c r="B139" s="110" t="s">
        <v>120</v>
      </c>
      <c r="C139" s="110"/>
      <c r="D139" s="129"/>
      <c r="E139" s="129"/>
      <c r="F139" s="130">
        <f>F141</f>
        <v>835.01400000000001</v>
      </c>
    </row>
    <row r="140" spans="1:6" s="4" customFormat="1" ht="31.5" customHeight="1" x14ac:dyDescent="0.25">
      <c r="A140" s="128" t="s">
        <v>41</v>
      </c>
      <c r="B140" s="110" t="s">
        <v>120</v>
      </c>
      <c r="C140" s="110">
        <v>200</v>
      </c>
      <c r="D140" s="129"/>
      <c r="E140" s="129"/>
      <c r="F140" s="130">
        <f>F141</f>
        <v>835.01400000000001</v>
      </c>
    </row>
    <row r="141" spans="1:6" s="4" customFormat="1" ht="25.5" x14ac:dyDescent="0.25">
      <c r="A141" s="36" t="s">
        <v>42</v>
      </c>
      <c r="B141" s="110" t="s">
        <v>120</v>
      </c>
      <c r="C141" s="110">
        <v>240</v>
      </c>
      <c r="D141" s="129"/>
      <c r="E141" s="129"/>
      <c r="F141" s="130">
        <f>F142</f>
        <v>835.01400000000001</v>
      </c>
    </row>
    <row r="142" spans="1:6" s="4" customFormat="1" ht="21.75" customHeight="1" x14ac:dyDescent="0.25">
      <c r="A142" s="128" t="s">
        <v>121</v>
      </c>
      <c r="B142" s="110" t="s">
        <v>120</v>
      </c>
      <c r="C142" s="110">
        <v>240</v>
      </c>
      <c r="D142" s="129" t="s">
        <v>52</v>
      </c>
      <c r="E142" s="129" t="s">
        <v>108</v>
      </c>
      <c r="F142" s="130">
        <f>835.014</f>
        <v>835.01400000000001</v>
      </c>
    </row>
    <row r="143" spans="1:6" s="4" customFormat="1" ht="33.75" customHeight="1" x14ac:dyDescent="0.25">
      <c r="A143" s="43" t="s">
        <v>122</v>
      </c>
      <c r="B143" s="110" t="s">
        <v>123</v>
      </c>
      <c r="C143" s="110"/>
      <c r="D143" s="129"/>
      <c r="E143" s="129"/>
      <c r="F143" s="130">
        <f>F144</f>
        <v>5818.1569999999992</v>
      </c>
    </row>
    <row r="144" spans="1:6" s="4" customFormat="1" ht="25.5" x14ac:dyDescent="0.25">
      <c r="A144" s="128" t="s">
        <v>41</v>
      </c>
      <c r="B144" s="110" t="s">
        <v>123</v>
      </c>
      <c r="C144" s="110">
        <v>200</v>
      </c>
      <c r="D144" s="129"/>
      <c r="E144" s="129"/>
      <c r="F144" s="130">
        <f>F145</f>
        <v>5818.1569999999992</v>
      </c>
    </row>
    <row r="145" spans="1:7" s="4" customFormat="1" ht="25.5" x14ac:dyDescent="0.25">
      <c r="A145" s="36" t="s">
        <v>42</v>
      </c>
      <c r="B145" s="110" t="s">
        <v>123</v>
      </c>
      <c r="C145" s="110">
        <v>240</v>
      </c>
      <c r="D145" s="129"/>
      <c r="E145" s="129"/>
      <c r="F145" s="130">
        <f>F146</f>
        <v>5818.1569999999992</v>
      </c>
    </row>
    <row r="146" spans="1:7" s="4" customFormat="1" ht="26.25" customHeight="1" x14ac:dyDescent="0.25">
      <c r="A146" s="128" t="s">
        <v>121</v>
      </c>
      <c r="B146" s="110" t="s">
        <v>123</v>
      </c>
      <c r="C146" s="110">
        <v>240</v>
      </c>
      <c r="D146" s="129" t="s">
        <v>52</v>
      </c>
      <c r="E146" s="129" t="s">
        <v>108</v>
      </c>
      <c r="F146" s="130">
        <f>250+337.538+1804.15+2704.346+1208.23+1942.8+389.628-1942.8-725.735-150</f>
        <v>5818.1569999999992</v>
      </c>
    </row>
    <row r="147" spans="1:7" s="4" customFormat="1" ht="51" x14ac:dyDescent="0.25">
      <c r="A147" s="128" t="s">
        <v>124</v>
      </c>
      <c r="B147" s="110" t="s">
        <v>125</v>
      </c>
      <c r="C147" s="110"/>
      <c r="D147" s="129"/>
      <c r="E147" s="129"/>
      <c r="F147" s="130">
        <f>F148</f>
        <v>8467.2849999999999</v>
      </c>
    </row>
    <row r="148" spans="1:7" s="4" customFormat="1" ht="25.5" x14ac:dyDescent="0.25">
      <c r="A148" s="128" t="s">
        <v>41</v>
      </c>
      <c r="B148" s="110" t="s">
        <v>125</v>
      </c>
      <c r="C148" s="136">
        <v>200</v>
      </c>
      <c r="D148" s="129"/>
      <c r="E148" s="129"/>
      <c r="F148" s="130">
        <f>F149</f>
        <v>8467.2849999999999</v>
      </c>
    </row>
    <row r="149" spans="1:7" s="4" customFormat="1" ht="25.5" x14ac:dyDescent="0.25">
      <c r="A149" s="36" t="s">
        <v>42</v>
      </c>
      <c r="B149" s="110" t="s">
        <v>125</v>
      </c>
      <c r="C149" s="110">
        <v>240</v>
      </c>
      <c r="D149" s="129"/>
      <c r="E149" s="129"/>
      <c r="F149" s="130">
        <f>F150</f>
        <v>8467.2849999999999</v>
      </c>
    </row>
    <row r="150" spans="1:7" s="4" customFormat="1" ht="26.25" customHeight="1" x14ac:dyDescent="0.25">
      <c r="A150" s="128" t="s">
        <v>121</v>
      </c>
      <c r="B150" s="110" t="s">
        <v>125</v>
      </c>
      <c r="C150" s="110">
        <v>240</v>
      </c>
      <c r="D150" s="129" t="s">
        <v>52</v>
      </c>
      <c r="E150" s="129" t="s">
        <v>108</v>
      </c>
      <c r="F150" s="130">
        <f>100+200+1133.45+2948.191+3327.139+1942.8-1174.295-10</f>
        <v>8467.2849999999999</v>
      </c>
      <c r="G150" s="5"/>
    </row>
    <row r="151" spans="1:7" s="4" customFormat="1" ht="25.5" x14ac:dyDescent="0.25">
      <c r="A151" s="128" t="s">
        <v>127</v>
      </c>
      <c r="B151" s="136" t="s">
        <v>126</v>
      </c>
      <c r="C151" s="110"/>
      <c r="D151" s="129"/>
      <c r="E151" s="129"/>
      <c r="F151" s="130">
        <f>F152</f>
        <v>2884.5989999999997</v>
      </c>
    </row>
    <row r="152" spans="1:7" s="4" customFormat="1" ht="25.5" x14ac:dyDescent="0.25">
      <c r="A152" s="128" t="s">
        <v>41</v>
      </c>
      <c r="B152" s="136" t="s">
        <v>126</v>
      </c>
      <c r="C152" s="136">
        <v>200</v>
      </c>
      <c r="D152" s="129"/>
      <c r="E152" s="129"/>
      <c r="F152" s="130">
        <f>F153</f>
        <v>2884.5989999999997</v>
      </c>
    </row>
    <row r="153" spans="1:7" s="4" customFormat="1" ht="25.5" x14ac:dyDescent="0.25">
      <c r="A153" s="36" t="s">
        <v>42</v>
      </c>
      <c r="B153" s="136" t="s">
        <v>126</v>
      </c>
      <c r="C153" s="110">
        <v>240</v>
      </c>
      <c r="D153" s="129"/>
      <c r="E153" s="129"/>
      <c r="F153" s="130">
        <f>F154</f>
        <v>2884.5989999999997</v>
      </c>
    </row>
    <row r="154" spans="1:7" s="4" customFormat="1" ht="24.75" customHeight="1" x14ac:dyDescent="0.25">
      <c r="A154" s="128" t="s">
        <v>121</v>
      </c>
      <c r="B154" s="136" t="s">
        <v>126</v>
      </c>
      <c r="C154" s="110">
        <v>240</v>
      </c>
      <c r="D154" s="129" t="s">
        <v>52</v>
      </c>
      <c r="E154" s="129" t="s">
        <v>108</v>
      </c>
      <c r="F154" s="130">
        <f>1124.977+1253.5+1545.75-389.628-650</f>
        <v>2884.5989999999997</v>
      </c>
    </row>
    <row r="155" spans="1:7" s="4" customFormat="1" ht="48" customHeight="1" x14ac:dyDescent="0.25">
      <c r="A155" s="124" t="s">
        <v>314</v>
      </c>
      <c r="B155" s="125" t="s">
        <v>128</v>
      </c>
      <c r="C155" s="125"/>
      <c r="D155" s="122"/>
      <c r="E155" s="122"/>
      <c r="F155" s="127">
        <f>F156</f>
        <v>650</v>
      </c>
    </row>
    <row r="156" spans="1:7" s="4" customFormat="1" ht="36" customHeight="1" x14ac:dyDescent="0.25">
      <c r="A156" s="34" t="s">
        <v>129</v>
      </c>
      <c r="B156" s="16" t="s">
        <v>130</v>
      </c>
      <c r="C156" s="126"/>
      <c r="D156" s="122"/>
      <c r="E156" s="122"/>
      <c r="F156" s="130">
        <f>F157</f>
        <v>650</v>
      </c>
    </row>
    <row r="157" spans="1:7" s="4" customFormat="1" ht="33.75" customHeight="1" x14ac:dyDescent="0.25">
      <c r="A157" s="34" t="s">
        <v>131</v>
      </c>
      <c r="B157" s="16" t="s">
        <v>132</v>
      </c>
      <c r="C157" s="126"/>
      <c r="D157" s="122"/>
      <c r="E157" s="122"/>
      <c r="F157" s="130">
        <f>F158</f>
        <v>650</v>
      </c>
    </row>
    <row r="158" spans="1:7" s="4" customFormat="1" ht="27.75" customHeight="1" x14ac:dyDescent="0.25">
      <c r="A158" s="36" t="s">
        <v>41</v>
      </c>
      <c r="B158" s="16" t="s">
        <v>132</v>
      </c>
      <c r="C158" s="110">
        <v>200</v>
      </c>
      <c r="D158" s="122"/>
      <c r="E158" s="122"/>
      <c r="F158" s="130">
        <f>F159</f>
        <v>650</v>
      </c>
    </row>
    <row r="159" spans="1:7" s="4" customFormat="1" ht="29.25" customHeight="1" x14ac:dyDescent="0.25">
      <c r="A159" s="36" t="s">
        <v>175</v>
      </c>
      <c r="B159" s="16" t="s">
        <v>132</v>
      </c>
      <c r="C159" s="110">
        <v>240</v>
      </c>
      <c r="D159" s="122"/>
      <c r="E159" s="122"/>
      <c r="F159" s="130">
        <f>F160</f>
        <v>650</v>
      </c>
    </row>
    <row r="160" spans="1:7" s="4" customFormat="1" ht="32.25" customHeight="1" x14ac:dyDescent="0.25">
      <c r="A160" s="128" t="s">
        <v>121</v>
      </c>
      <c r="B160" s="16" t="s">
        <v>132</v>
      </c>
      <c r="C160" s="110">
        <v>240</v>
      </c>
      <c r="D160" s="129" t="s">
        <v>52</v>
      </c>
      <c r="E160" s="129" t="s">
        <v>108</v>
      </c>
      <c r="F160" s="130">
        <v>650</v>
      </c>
    </row>
    <row r="161" spans="1:7" s="4" customFormat="1" ht="30.75" customHeight="1" x14ac:dyDescent="0.25">
      <c r="A161" s="299" t="s">
        <v>499</v>
      </c>
      <c r="B161" s="32" t="s">
        <v>498</v>
      </c>
      <c r="C161" s="125"/>
      <c r="D161" s="122"/>
      <c r="E161" s="122"/>
      <c r="F161" s="127">
        <f>SUM(F162)</f>
        <v>9987.14</v>
      </c>
    </row>
    <row r="162" spans="1:7" s="4" customFormat="1" ht="69" customHeight="1" x14ac:dyDescent="0.25">
      <c r="A162" s="34" t="s">
        <v>501</v>
      </c>
      <c r="B162" s="16" t="s">
        <v>497</v>
      </c>
      <c r="C162" s="110"/>
      <c r="D162" s="129"/>
      <c r="E162" s="129"/>
      <c r="F162" s="130">
        <f>F164</f>
        <v>9987.14</v>
      </c>
    </row>
    <row r="163" spans="1:7" s="4" customFormat="1" ht="25.5" customHeight="1" x14ac:dyDescent="0.25">
      <c r="A163" s="36" t="s">
        <v>41</v>
      </c>
      <c r="B163" s="16" t="s">
        <v>497</v>
      </c>
      <c r="C163" s="110">
        <v>200</v>
      </c>
      <c r="D163" s="129"/>
      <c r="E163" s="129"/>
      <c r="F163" s="130">
        <f>F164</f>
        <v>9987.14</v>
      </c>
    </row>
    <row r="164" spans="1:7" s="4" customFormat="1" ht="27.75" customHeight="1" x14ac:dyDescent="0.25">
      <c r="A164" s="36" t="s">
        <v>175</v>
      </c>
      <c r="B164" s="16" t="s">
        <v>497</v>
      </c>
      <c r="C164" s="110">
        <v>240</v>
      </c>
      <c r="D164" s="129"/>
      <c r="E164" s="129"/>
      <c r="F164" s="130">
        <f>F165</f>
        <v>9987.14</v>
      </c>
      <c r="G164" s="5"/>
    </row>
    <row r="165" spans="1:7" s="4" customFormat="1" ht="30.75" customHeight="1" x14ac:dyDescent="0.25">
      <c r="A165" s="128" t="s">
        <v>121</v>
      </c>
      <c r="B165" s="16" t="s">
        <v>497</v>
      </c>
      <c r="C165" s="110">
        <v>240</v>
      </c>
      <c r="D165" s="129" t="s">
        <v>52</v>
      </c>
      <c r="E165" s="129" t="s">
        <v>108</v>
      </c>
      <c r="F165" s="130">
        <f>12748.382-2718.463-42.779</f>
        <v>9987.14</v>
      </c>
    </row>
    <row r="166" spans="1:7" s="4" customFormat="1" ht="38.25" x14ac:dyDescent="0.25">
      <c r="A166" s="117" t="s">
        <v>133</v>
      </c>
      <c r="B166" s="111" t="s">
        <v>134</v>
      </c>
      <c r="C166" s="111"/>
      <c r="D166" s="118"/>
      <c r="E166" s="118"/>
      <c r="F166" s="119">
        <f>SUM(F167)</f>
        <v>1214.393</v>
      </c>
    </row>
    <row r="167" spans="1:7" s="4" customFormat="1" ht="15.75" x14ac:dyDescent="0.25">
      <c r="A167" s="131" t="s">
        <v>135</v>
      </c>
      <c r="B167" s="125" t="s">
        <v>136</v>
      </c>
      <c r="C167" s="125"/>
      <c r="D167" s="122"/>
      <c r="E167" s="122"/>
      <c r="F167" s="127">
        <f>F172+F168+F176</f>
        <v>1214.393</v>
      </c>
    </row>
    <row r="168" spans="1:7" s="4" customFormat="1" ht="46.5" customHeight="1" x14ac:dyDescent="0.25">
      <c r="A168" s="128" t="s">
        <v>137</v>
      </c>
      <c r="B168" s="110" t="s">
        <v>138</v>
      </c>
      <c r="C168" s="111"/>
      <c r="D168" s="118"/>
      <c r="E168" s="118"/>
      <c r="F168" s="130">
        <f>F169</f>
        <v>0</v>
      </c>
    </row>
    <row r="169" spans="1:7" s="4" customFormat="1" ht="29.25" customHeight="1" x14ac:dyDescent="0.25">
      <c r="A169" s="128" t="s">
        <v>139</v>
      </c>
      <c r="B169" s="110" t="s">
        <v>138</v>
      </c>
      <c r="C169" s="110">
        <v>400</v>
      </c>
      <c r="D169" s="129"/>
      <c r="E169" s="129"/>
      <c r="F169" s="130">
        <f>F170</f>
        <v>0</v>
      </c>
    </row>
    <row r="170" spans="1:7" s="4" customFormat="1" ht="27.75" customHeight="1" x14ac:dyDescent="0.25">
      <c r="A170" s="36" t="s">
        <v>140</v>
      </c>
      <c r="B170" s="110" t="s">
        <v>138</v>
      </c>
      <c r="C170" s="110">
        <v>410</v>
      </c>
      <c r="D170" s="129"/>
      <c r="E170" s="129"/>
      <c r="F170" s="130">
        <f>F171</f>
        <v>0</v>
      </c>
    </row>
    <row r="171" spans="1:7" s="4" customFormat="1" ht="24.75" customHeight="1" x14ac:dyDescent="0.25">
      <c r="A171" s="128" t="s">
        <v>141</v>
      </c>
      <c r="B171" s="110" t="s">
        <v>138</v>
      </c>
      <c r="C171" s="110">
        <v>410</v>
      </c>
      <c r="D171" s="129" t="s">
        <v>142</v>
      </c>
      <c r="E171" s="129" t="s">
        <v>143</v>
      </c>
      <c r="F171" s="130">
        <v>0</v>
      </c>
    </row>
    <row r="172" spans="1:7" s="4" customFormat="1" ht="23.25" customHeight="1" x14ac:dyDescent="0.25">
      <c r="A172" s="128" t="s">
        <v>144</v>
      </c>
      <c r="B172" s="110" t="s">
        <v>145</v>
      </c>
      <c r="C172" s="110"/>
      <c r="D172" s="129"/>
      <c r="E172" s="129"/>
      <c r="F172" s="130">
        <f>F174</f>
        <v>297.47300000000001</v>
      </c>
    </row>
    <row r="173" spans="1:7" s="4" customFormat="1" ht="25.5" x14ac:dyDescent="0.25">
      <c r="A173" s="128" t="s">
        <v>41</v>
      </c>
      <c r="B173" s="110" t="s">
        <v>145</v>
      </c>
      <c r="C173" s="110">
        <v>200</v>
      </c>
      <c r="D173" s="129"/>
      <c r="E173" s="129"/>
      <c r="F173" s="130">
        <f>F174</f>
        <v>297.47300000000001</v>
      </c>
    </row>
    <row r="174" spans="1:7" s="4" customFormat="1" ht="25.5" x14ac:dyDescent="0.25">
      <c r="A174" s="36" t="s">
        <v>42</v>
      </c>
      <c r="B174" s="110" t="s">
        <v>145</v>
      </c>
      <c r="C174" s="110">
        <v>240</v>
      </c>
      <c r="D174" s="129"/>
      <c r="E174" s="129"/>
      <c r="F174" s="130">
        <f>F175</f>
        <v>297.47300000000001</v>
      </c>
    </row>
    <row r="175" spans="1:7" s="4" customFormat="1" ht="23.25" customHeight="1" x14ac:dyDescent="0.25">
      <c r="A175" s="128" t="s">
        <v>141</v>
      </c>
      <c r="B175" s="110" t="s">
        <v>145</v>
      </c>
      <c r="C175" s="110">
        <v>240</v>
      </c>
      <c r="D175" s="129" t="s">
        <v>142</v>
      </c>
      <c r="E175" s="129" t="s">
        <v>143</v>
      </c>
      <c r="F175" s="130">
        <v>297.47300000000001</v>
      </c>
    </row>
    <row r="176" spans="1:7" s="4" customFormat="1" ht="38.25" x14ac:dyDescent="0.25">
      <c r="A176" s="128" t="s">
        <v>337</v>
      </c>
      <c r="B176" s="16" t="s">
        <v>338</v>
      </c>
      <c r="C176" s="110"/>
      <c r="D176" s="129"/>
      <c r="E176" s="129"/>
      <c r="F176" s="130">
        <f>F177</f>
        <v>916.92000000000007</v>
      </c>
    </row>
    <row r="177" spans="1:7" s="4" customFormat="1" ht="25.5" x14ac:dyDescent="0.25">
      <c r="A177" s="128" t="s">
        <v>139</v>
      </c>
      <c r="B177" s="16" t="s">
        <v>338</v>
      </c>
      <c r="C177" s="110">
        <v>400</v>
      </c>
      <c r="D177" s="129"/>
      <c r="E177" s="129"/>
      <c r="F177" s="130">
        <f>F178</f>
        <v>916.92000000000007</v>
      </c>
    </row>
    <row r="178" spans="1:7" s="4" customFormat="1" ht="24.75" customHeight="1" x14ac:dyDescent="0.25">
      <c r="A178" s="36" t="s">
        <v>140</v>
      </c>
      <c r="B178" s="16" t="s">
        <v>338</v>
      </c>
      <c r="C178" s="110">
        <v>410</v>
      </c>
      <c r="D178" s="129"/>
      <c r="E178" s="129"/>
      <c r="F178" s="130">
        <f>F179</f>
        <v>916.92000000000007</v>
      </c>
    </row>
    <row r="179" spans="1:7" s="4" customFormat="1" ht="24.75" customHeight="1" x14ac:dyDescent="0.25">
      <c r="A179" s="128" t="s">
        <v>141</v>
      </c>
      <c r="B179" s="16" t="s">
        <v>338</v>
      </c>
      <c r="C179" s="110">
        <v>410</v>
      </c>
      <c r="D179" s="129" t="s">
        <v>142</v>
      </c>
      <c r="E179" s="129" t="s">
        <v>143</v>
      </c>
      <c r="F179" s="130">
        <f>2692.66+861.9-2637.64</f>
        <v>916.92000000000007</v>
      </c>
    </row>
    <row r="180" spans="1:7" s="4" customFormat="1" ht="38.25" x14ac:dyDescent="0.25">
      <c r="A180" s="117" t="s">
        <v>146</v>
      </c>
      <c r="B180" s="111" t="s">
        <v>147</v>
      </c>
      <c r="C180" s="111"/>
      <c r="D180" s="118"/>
      <c r="E180" s="118"/>
      <c r="F180" s="119">
        <f>SUM(F181)</f>
        <v>46394.840999999993</v>
      </c>
    </row>
    <row r="181" spans="1:7" s="4" customFormat="1" ht="51" x14ac:dyDescent="0.25">
      <c r="A181" s="131" t="s">
        <v>148</v>
      </c>
      <c r="B181" s="125" t="s">
        <v>149</v>
      </c>
      <c r="C181" s="125"/>
      <c r="D181" s="118"/>
      <c r="E181" s="118"/>
      <c r="F181" s="127">
        <f>F182+F186+F190+F194</f>
        <v>46394.840999999993</v>
      </c>
    </row>
    <row r="182" spans="1:7" s="4" customFormat="1" ht="38.25" x14ac:dyDescent="0.25">
      <c r="A182" s="133" t="s">
        <v>150</v>
      </c>
      <c r="B182" s="110" t="s">
        <v>151</v>
      </c>
      <c r="C182" s="110"/>
      <c r="D182" s="129"/>
      <c r="E182" s="129"/>
      <c r="F182" s="130">
        <f>F183</f>
        <v>45436.960999999996</v>
      </c>
    </row>
    <row r="183" spans="1:7" s="4" customFormat="1" ht="25.5" x14ac:dyDescent="0.25">
      <c r="A183" s="128" t="s">
        <v>41</v>
      </c>
      <c r="B183" s="110" t="s">
        <v>151</v>
      </c>
      <c r="C183" s="110">
        <v>200</v>
      </c>
      <c r="D183" s="129"/>
      <c r="E183" s="129"/>
      <c r="F183" s="130">
        <f>F184</f>
        <v>45436.960999999996</v>
      </c>
    </row>
    <row r="184" spans="1:7" s="4" customFormat="1" ht="25.5" x14ac:dyDescent="0.25">
      <c r="A184" s="36" t="s">
        <v>42</v>
      </c>
      <c r="B184" s="110" t="s">
        <v>151</v>
      </c>
      <c r="C184" s="110">
        <v>240</v>
      </c>
      <c r="D184" s="129"/>
      <c r="E184" s="129"/>
      <c r="F184" s="130">
        <f>F185</f>
        <v>45436.960999999996</v>
      </c>
      <c r="G184" s="5"/>
    </row>
    <row r="185" spans="1:7" s="4" customFormat="1" ht="24.75" customHeight="1" x14ac:dyDescent="0.25">
      <c r="A185" s="128" t="s">
        <v>152</v>
      </c>
      <c r="B185" s="110" t="s">
        <v>151</v>
      </c>
      <c r="C185" s="110">
        <v>240</v>
      </c>
      <c r="D185" s="129" t="s">
        <v>142</v>
      </c>
      <c r="E185" s="129" t="s">
        <v>64</v>
      </c>
      <c r="F185" s="130">
        <f>43386.227-19.415-560.3+2690.449-60</f>
        <v>45436.960999999996</v>
      </c>
    </row>
    <row r="186" spans="1:7" s="4" customFormat="1" ht="25.5" hidden="1" x14ac:dyDescent="0.25">
      <c r="A186" s="34" t="s">
        <v>450</v>
      </c>
      <c r="B186" s="16" t="s">
        <v>451</v>
      </c>
      <c r="C186" s="110"/>
      <c r="D186" s="129"/>
      <c r="E186" s="129"/>
      <c r="F186" s="130">
        <f>F187</f>
        <v>0</v>
      </c>
    </row>
    <row r="187" spans="1:7" s="4" customFormat="1" ht="25.5" hidden="1" x14ac:dyDescent="0.25">
      <c r="A187" s="36" t="s">
        <v>41</v>
      </c>
      <c r="B187" s="16" t="s">
        <v>451</v>
      </c>
      <c r="C187" s="110">
        <v>200</v>
      </c>
      <c r="D187" s="129"/>
      <c r="E187" s="129"/>
      <c r="F187" s="130">
        <f>F188</f>
        <v>0</v>
      </c>
    </row>
    <row r="188" spans="1:7" s="4" customFormat="1" ht="25.5" hidden="1" x14ac:dyDescent="0.25">
      <c r="A188" s="36" t="s">
        <v>175</v>
      </c>
      <c r="B188" s="16" t="s">
        <v>451</v>
      </c>
      <c r="C188" s="110">
        <v>240</v>
      </c>
      <c r="D188" s="129"/>
      <c r="E188" s="129"/>
      <c r="F188" s="130">
        <f>F189</f>
        <v>0</v>
      </c>
    </row>
    <row r="189" spans="1:7" s="4" customFormat="1" ht="11.25" hidden="1" customHeight="1" x14ac:dyDescent="0.25">
      <c r="A189" s="34" t="s">
        <v>448</v>
      </c>
      <c r="B189" s="16" t="s">
        <v>451</v>
      </c>
      <c r="C189" s="110">
        <v>240</v>
      </c>
      <c r="D189" s="129" t="s">
        <v>52</v>
      </c>
      <c r="E189" s="129" t="s">
        <v>142</v>
      </c>
      <c r="F189" s="35">
        <v>0</v>
      </c>
    </row>
    <row r="190" spans="1:7" s="4" customFormat="1" ht="25.5" x14ac:dyDescent="0.25">
      <c r="A190" s="34" t="s">
        <v>350</v>
      </c>
      <c r="B190" s="77" t="s">
        <v>359</v>
      </c>
      <c r="C190" s="110"/>
      <c r="D190" s="129"/>
      <c r="E190" s="129"/>
      <c r="F190" s="130">
        <f>F191</f>
        <v>949</v>
      </c>
    </row>
    <row r="191" spans="1:7" s="4" customFormat="1" ht="25.5" x14ac:dyDescent="0.25">
      <c r="A191" s="36" t="s">
        <v>41</v>
      </c>
      <c r="B191" s="77" t="s">
        <v>359</v>
      </c>
      <c r="C191" s="110">
        <v>200</v>
      </c>
      <c r="D191" s="129"/>
      <c r="E191" s="129"/>
      <c r="F191" s="130">
        <f>F192</f>
        <v>949</v>
      </c>
    </row>
    <row r="192" spans="1:7" s="4" customFormat="1" ht="25.5" x14ac:dyDescent="0.25">
      <c r="A192" s="36" t="s">
        <v>175</v>
      </c>
      <c r="B192" s="77" t="s">
        <v>359</v>
      </c>
      <c r="C192" s="110">
        <v>240</v>
      </c>
      <c r="D192" s="129"/>
      <c r="E192" s="129"/>
      <c r="F192" s="130">
        <f>F193</f>
        <v>949</v>
      </c>
    </row>
    <row r="193" spans="1:7" s="4" customFormat="1" ht="27" customHeight="1" x14ac:dyDescent="0.25">
      <c r="A193" s="128" t="s">
        <v>152</v>
      </c>
      <c r="B193" s="77" t="s">
        <v>359</v>
      </c>
      <c r="C193" s="110">
        <v>240</v>
      </c>
      <c r="D193" s="129" t="s">
        <v>142</v>
      </c>
      <c r="E193" s="129" t="s">
        <v>64</v>
      </c>
      <c r="F193" s="130">
        <v>949</v>
      </c>
    </row>
    <row r="194" spans="1:7" s="4" customFormat="1" ht="38.25" x14ac:dyDescent="0.25">
      <c r="A194" s="245" t="s">
        <v>506</v>
      </c>
      <c r="B194" s="77" t="s">
        <v>505</v>
      </c>
      <c r="C194" s="300"/>
      <c r="D194" s="129"/>
      <c r="E194" s="129"/>
      <c r="F194" s="130">
        <f>F195</f>
        <v>8.8800000000000026</v>
      </c>
    </row>
    <row r="195" spans="1:7" s="4" customFormat="1" ht="25.5" x14ac:dyDescent="0.25">
      <c r="A195" s="36" t="s">
        <v>41</v>
      </c>
      <c r="B195" s="77" t="s">
        <v>505</v>
      </c>
      <c r="C195" s="300">
        <v>200</v>
      </c>
      <c r="D195" s="129"/>
      <c r="E195" s="129"/>
      <c r="F195" s="130">
        <f>F196</f>
        <v>8.8800000000000026</v>
      </c>
    </row>
    <row r="196" spans="1:7" s="4" customFormat="1" ht="25.5" x14ac:dyDescent="0.25">
      <c r="A196" s="36" t="s">
        <v>175</v>
      </c>
      <c r="B196" s="77" t="s">
        <v>505</v>
      </c>
      <c r="C196" s="300">
        <v>240</v>
      </c>
      <c r="D196" s="129"/>
      <c r="E196" s="129"/>
      <c r="F196" s="130">
        <f>F197</f>
        <v>8.8800000000000026</v>
      </c>
    </row>
    <row r="197" spans="1:7" s="4" customFormat="1" ht="24.75" customHeight="1" x14ac:dyDescent="0.25">
      <c r="A197" s="128" t="s">
        <v>152</v>
      </c>
      <c r="B197" s="77" t="s">
        <v>505</v>
      </c>
      <c r="C197" s="300">
        <v>240</v>
      </c>
      <c r="D197" s="129" t="s">
        <v>142</v>
      </c>
      <c r="E197" s="129" t="s">
        <v>64</v>
      </c>
      <c r="F197" s="130">
        <f>60-51.12</f>
        <v>8.8800000000000026</v>
      </c>
    </row>
    <row r="198" spans="1:7" s="4" customFormat="1" ht="38.25" x14ac:dyDescent="0.25">
      <c r="A198" s="18" t="s">
        <v>153</v>
      </c>
      <c r="B198" s="111" t="s">
        <v>154</v>
      </c>
      <c r="C198" s="111"/>
      <c r="D198" s="118"/>
      <c r="E198" s="118"/>
      <c r="F198" s="119">
        <f>SUM(F199)</f>
        <v>200</v>
      </c>
    </row>
    <row r="199" spans="1:7" s="4" customFormat="1" ht="25.5" x14ac:dyDescent="0.25">
      <c r="A199" s="31" t="s">
        <v>155</v>
      </c>
      <c r="B199" s="125" t="s">
        <v>156</v>
      </c>
      <c r="C199" s="125"/>
      <c r="D199" s="129"/>
      <c r="E199" s="129"/>
      <c r="F199" s="127">
        <f>SUM(F200)</f>
        <v>200</v>
      </c>
    </row>
    <row r="200" spans="1:7" s="4" customFormat="1" ht="25.5" x14ac:dyDescent="0.25">
      <c r="A200" s="34" t="s">
        <v>157</v>
      </c>
      <c r="B200" s="110" t="s">
        <v>158</v>
      </c>
      <c r="C200" s="110"/>
      <c r="D200" s="129"/>
      <c r="E200" s="129"/>
      <c r="F200" s="130">
        <f>F201</f>
        <v>200</v>
      </c>
    </row>
    <row r="201" spans="1:7" s="4" customFormat="1" ht="25.5" x14ac:dyDescent="0.25">
      <c r="A201" s="128" t="s">
        <v>41</v>
      </c>
      <c r="B201" s="110" t="s">
        <v>158</v>
      </c>
      <c r="C201" s="110">
        <v>200</v>
      </c>
      <c r="D201" s="129"/>
      <c r="E201" s="129"/>
      <c r="F201" s="130">
        <f>F202</f>
        <v>200</v>
      </c>
    </row>
    <row r="202" spans="1:7" s="4" customFormat="1" ht="25.5" x14ac:dyDescent="0.25">
      <c r="A202" s="36" t="s">
        <v>42</v>
      </c>
      <c r="B202" s="110" t="s">
        <v>158</v>
      </c>
      <c r="C202" s="110">
        <v>240</v>
      </c>
      <c r="D202" s="129"/>
      <c r="E202" s="129"/>
      <c r="F202" s="130">
        <f>F203</f>
        <v>200</v>
      </c>
    </row>
    <row r="203" spans="1:7" s="4" customFormat="1" ht="27.75" customHeight="1" x14ac:dyDescent="0.25">
      <c r="A203" s="128" t="s">
        <v>152</v>
      </c>
      <c r="B203" s="110" t="s">
        <v>158</v>
      </c>
      <c r="C203" s="110">
        <v>240</v>
      </c>
      <c r="D203" s="129" t="s">
        <v>142</v>
      </c>
      <c r="E203" s="129" t="s">
        <v>64</v>
      </c>
      <c r="F203" s="130">
        <v>200</v>
      </c>
    </row>
    <row r="204" spans="1:7" s="4" customFormat="1" ht="38.25" hidden="1" x14ac:dyDescent="0.25">
      <c r="A204" s="117" t="s">
        <v>159</v>
      </c>
      <c r="B204" s="111" t="s">
        <v>160</v>
      </c>
      <c r="C204" s="111"/>
      <c r="D204" s="118"/>
      <c r="E204" s="118"/>
      <c r="F204" s="119">
        <f>SUM(F205)</f>
        <v>0</v>
      </c>
    </row>
    <row r="205" spans="1:7" s="4" customFormat="1" ht="26.45" hidden="1" customHeight="1" x14ac:dyDescent="0.25">
      <c r="A205" s="131" t="s">
        <v>161</v>
      </c>
      <c r="B205" s="125" t="s">
        <v>162</v>
      </c>
      <c r="C205" s="125"/>
      <c r="D205" s="122"/>
      <c r="E205" s="122"/>
      <c r="F205" s="127">
        <f>F206+F210</f>
        <v>0</v>
      </c>
    </row>
    <row r="206" spans="1:7" s="4" customFormat="1" ht="25.5" hidden="1" x14ac:dyDescent="0.25">
      <c r="A206" s="137" t="s">
        <v>282</v>
      </c>
      <c r="B206" s="110" t="s">
        <v>164</v>
      </c>
      <c r="C206" s="110"/>
      <c r="D206" s="129"/>
      <c r="E206" s="129"/>
      <c r="F206" s="130">
        <f>F207</f>
        <v>0</v>
      </c>
    </row>
    <row r="207" spans="1:7" s="4" customFormat="1" ht="25.5" hidden="1" x14ac:dyDescent="0.25">
      <c r="A207" s="128" t="s">
        <v>41</v>
      </c>
      <c r="B207" s="110" t="s">
        <v>164</v>
      </c>
      <c r="C207" s="110">
        <v>200</v>
      </c>
      <c r="D207" s="129"/>
      <c r="E207" s="129"/>
      <c r="F207" s="130">
        <f>F208</f>
        <v>0</v>
      </c>
    </row>
    <row r="208" spans="1:7" s="4" customFormat="1" ht="25.5" hidden="1" x14ac:dyDescent="0.25">
      <c r="A208" s="36" t="s">
        <v>42</v>
      </c>
      <c r="B208" s="110" t="s">
        <v>164</v>
      </c>
      <c r="C208" s="110">
        <v>240</v>
      </c>
      <c r="D208" s="129"/>
      <c r="E208" s="129"/>
      <c r="F208" s="130">
        <f>F209</f>
        <v>0</v>
      </c>
      <c r="G208" s="5"/>
    </row>
    <row r="209" spans="1:8" s="4" customFormat="1" ht="15.75" hidden="1" x14ac:dyDescent="0.25">
      <c r="A209" s="128" t="s">
        <v>121</v>
      </c>
      <c r="B209" s="110" t="s">
        <v>164</v>
      </c>
      <c r="C209" s="110">
        <v>240</v>
      </c>
      <c r="D209" s="129" t="s">
        <v>52</v>
      </c>
      <c r="E209" s="129" t="s">
        <v>108</v>
      </c>
      <c r="F209" s="130">
        <v>0</v>
      </c>
      <c r="H209" s="6"/>
    </row>
    <row r="210" spans="1:8" s="4" customFormat="1" ht="38.25" hidden="1" x14ac:dyDescent="0.25">
      <c r="A210" s="138" t="s">
        <v>163</v>
      </c>
      <c r="B210" s="110" t="s">
        <v>164</v>
      </c>
      <c r="C210" s="110"/>
      <c r="D210" s="129"/>
      <c r="E210" s="129"/>
      <c r="F210" s="130">
        <f>F211</f>
        <v>0</v>
      </c>
    </row>
    <row r="211" spans="1:8" s="4" customFormat="1" ht="25.5" hidden="1" x14ac:dyDescent="0.25">
      <c r="A211" s="128" t="s">
        <v>41</v>
      </c>
      <c r="B211" s="110" t="s">
        <v>164</v>
      </c>
      <c r="C211" s="110">
        <v>200</v>
      </c>
      <c r="D211" s="129"/>
      <c r="E211" s="129"/>
      <c r="F211" s="130">
        <f>F212</f>
        <v>0</v>
      </c>
    </row>
    <row r="212" spans="1:8" s="4" customFormat="1" ht="25.5" hidden="1" x14ac:dyDescent="0.25">
      <c r="A212" s="36" t="s">
        <v>42</v>
      </c>
      <c r="B212" s="110" t="s">
        <v>164</v>
      </c>
      <c r="C212" s="110">
        <v>240</v>
      </c>
      <c r="D212" s="129"/>
      <c r="E212" s="129"/>
      <c r="F212" s="130">
        <f>F213</f>
        <v>0</v>
      </c>
      <c r="G212" s="5"/>
    </row>
    <row r="213" spans="1:8" s="4" customFormat="1" ht="15.75" hidden="1" x14ac:dyDescent="0.25">
      <c r="A213" s="128" t="s">
        <v>121</v>
      </c>
      <c r="B213" s="110" t="s">
        <v>164</v>
      </c>
      <c r="C213" s="110">
        <v>240</v>
      </c>
      <c r="D213" s="129" t="s">
        <v>52</v>
      </c>
      <c r="E213" s="129" t="s">
        <v>108</v>
      </c>
      <c r="F213" s="130">
        <v>0</v>
      </c>
      <c r="H213" s="6"/>
    </row>
    <row r="214" spans="1:8" s="4" customFormat="1" ht="50.25" hidden="1" customHeight="1" x14ac:dyDescent="0.25">
      <c r="A214" s="139" t="s">
        <v>165</v>
      </c>
      <c r="B214" s="111" t="s">
        <v>166</v>
      </c>
      <c r="C214" s="111"/>
      <c r="D214" s="129"/>
      <c r="E214" s="129"/>
      <c r="F214" s="119">
        <f>SUM(F215)</f>
        <v>0</v>
      </c>
      <c r="H214" s="6"/>
    </row>
    <row r="215" spans="1:8" s="4" customFormat="1" ht="38.25" hidden="1" customHeight="1" x14ac:dyDescent="0.25">
      <c r="A215" s="140" t="s">
        <v>167</v>
      </c>
      <c r="B215" s="125" t="s">
        <v>168</v>
      </c>
      <c r="C215" s="125"/>
      <c r="D215" s="122"/>
      <c r="E215" s="122"/>
      <c r="F215" s="127">
        <f>F216+F220+F228+F224</f>
        <v>0</v>
      </c>
      <c r="H215" s="6"/>
    </row>
    <row r="216" spans="1:8" s="4" customFormat="1" ht="36.75" hidden="1" customHeight="1" x14ac:dyDescent="0.25">
      <c r="A216" s="138" t="s">
        <v>169</v>
      </c>
      <c r="B216" s="110" t="s">
        <v>170</v>
      </c>
      <c r="C216" s="110"/>
      <c r="D216" s="129"/>
      <c r="E216" s="129"/>
      <c r="F216" s="130">
        <f>F217</f>
        <v>0</v>
      </c>
      <c r="H216" s="6"/>
    </row>
    <row r="217" spans="1:8" s="4" customFormat="1" ht="33.4" hidden="1" customHeight="1" x14ac:dyDescent="0.25">
      <c r="A217" s="128" t="s">
        <v>139</v>
      </c>
      <c r="B217" s="110" t="s">
        <v>170</v>
      </c>
      <c r="C217" s="110">
        <v>400</v>
      </c>
      <c r="D217" s="129"/>
      <c r="E217" s="129"/>
      <c r="F217" s="130">
        <f>F218</f>
        <v>0</v>
      </c>
      <c r="H217" s="6"/>
    </row>
    <row r="218" spans="1:8" s="4" customFormat="1" ht="29.85" hidden="1" customHeight="1" x14ac:dyDescent="0.25">
      <c r="A218" s="36" t="s">
        <v>140</v>
      </c>
      <c r="B218" s="110" t="s">
        <v>170</v>
      </c>
      <c r="C218" s="110">
        <v>410</v>
      </c>
      <c r="D218" s="129"/>
      <c r="E218" s="129"/>
      <c r="F218" s="130">
        <f>F219</f>
        <v>0</v>
      </c>
      <c r="H218" s="6"/>
    </row>
    <row r="219" spans="1:8" s="4" customFormat="1" ht="31.35" hidden="1" customHeight="1" x14ac:dyDescent="0.25">
      <c r="A219" s="128" t="s">
        <v>141</v>
      </c>
      <c r="B219" s="110" t="s">
        <v>170</v>
      </c>
      <c r="C219" s="110">
        <v>410</v>
      </c>
      <c r="D219" s="129" t="s">
        <v>142</v>
      </c>
      <c r="E219" s="129" t="s">
        <v>143</v>
      </c>
      <c r="F219" s="130">
        <v>0</v>
      </c>
      <c r="H219" s="6"/>
    </row>
    <row r="220" spans="1:8" s="4" customFormat="1" ht="38.85" hidden="1" customHeight="1" x14ac:dyDescent="0.25">
      <c r="A220" s="137" t="s">
        <v>290</v>
      </c>
      <c r="B220" s="110" t="s">
        <v>289</v>
      </c>
      <c r="C220" s="110"/>
      <c r="D220" s="129"/>
      <c r="E220" s="129"/>
      <c r="F220" s="130">
        <f>F221</f>
        <v>0</v>
      </c>
      <c r="H220" s="6"/>
    </row>
    <row r="221" spans="1:8" s="4" customFormat="1" ht="33.950000000000003" hidden="1" customHeight="1" x14ac:dyDescent="0.25">
      <c r="A221" s="128" t="s">
        <v>139</v>
      </c>
      <c r="B221" s="110" t="s">
        <v>289</v>
      </c>
      <c r="C221" s="110">
        <v>400</v>
      </c>
      <c r="D221" s="129"/>
      <c r="E221" s="129"/>
      <c r="F221" s="130">
        <f>F222</f>
        <v>0</v>
      </c>
      <c r="H221" s="6"/>
    </row>
    <row r="222" spans="1:8" s="4" customFormat="1" ht="34.700000000000003" hidden="1" customHeight="1" x14ac:dyDescent="0.25">
      <c r="A222" s="36" t="s">
        <v>140</v>
      </c>
      <c r="B222" s="110" t="s">
        <v>289</v>
      </c>
      <c r="C222" s="110">
        <v>410</v>
      </c>
      <c r="D222" s="129"/>
      <c r="E222" s="129"/>
      <c r="F222" s="130">
        <f>F223</f>
        <v>0</v>
      </c>
      <c r="H222" s="6"/>
    </row>
    <row r="223" spans="1:8" s="4" customFormat="1" ht="36.75" hidden="1" customHeight="1" x14ac:dyDescent="0.25">
      <c r="A223" s="128" t="s">
        <v>141</v>
      </c>
      <c r="B223" s="110" t="s">
        <v>289</v>
      </c>
      <c r="C223" s="110">
        <v>410</v>
      </c>
      <c r="D223" s="129" t="s">
        <v>142</v>
      </c>
      <c r="E223" s="129" t="s">
        <v>143</v>
      </c>
      <c r="F223" s="130">
        <v>0</v>
      </c>
      <c r="H223" s="6"/>
    </row>
    <row r="224" spans="1:8" s="4" customFormat="1" ht="36" hidden="1" customHeight="1" x14ac:dyDescent="0.25">
      <c r="A224" s="192" t="s">
        <v>315</v>
      </c>
      <c r="B224" s="16" t="s">
        <v>316</v>
      </c>
      <c r="C224" s="193"/>
      <c r="D224" s="194"/>
      <c r="E224" s="194"/>
      <c r="F224" s="195">
        <f>F225</f>
        <v>0</v>
      </c>
      <c r="H224" s="6"/>
    </row>
    <row r="225" spans="1:8" s="4" customFormat="1" ht="36.75" hidden="1" customHeight="1" x14ac:dyDescent="0.25">
      <c r="A225" s="128" t="s">
        <v>139</v>
      </c>
      <c r="B225" s="16" t="s">
        <v>316</v>
      </c>
      <c r="C225" s="193">
        <v>400</v>
      </c>
      <c r="D225" s="194"/>
      <c r="E225" s="194"/>
      <c r="F225" s="195">
        <f>F226</f>
        <v>0</v>
      </c>
      <c r="H225" s="6"/>
    </row>
    <row r="226" spans="1:8" s="4" customFormat="1" ht="20.25" hidden="1" customHeight="1" x14ac:dyDescent="0.25">
      <c r="A226" s="36" t="s">
        <v>140</v>
      </c>
      <c r="B226" s="16" t="s">
        <v>316</v>
      </c>
      <c r="C226" s="193">
        <v>410</v>
      </c>
      <c r="D226" s="194"/>
      <c r="E226" s="194"/>
      <c r="F226" s="195">
        <f>F227</f>
        <v>0</v>
      </c>
      <c r="H226" s="6"/>
    </row>
    <row r="227" spans="1:8" s="4" customFormat="1" ht="18.75" hidden="1" customHeight="1" x14ac:dyDescent="0.25">
      <c r="A227" s="128" t="s">
        <v>141</v>
      </c>
      <c r="B227" s="16" t="s">
        <v>316</v>
      </c>
      <c r="C227" s="193">
        <v>410</v>
      </c>
      <c r="D227" s="194" t="s">
        <v>142</v>
      </c>
      <c r="E227" s="194" t="s">
        <v>143</v>
      </c>
      <c r="F227" s="195">
        <v>0</v>
      </c>
      <c r="H227" s="6"/>
    </row>
    <row r="228" spans="1:8" s="4" customFormat="1" ht="48.2" hidden="1" customHeight="1" x14ac:dyDescent="0.25">
      <c r="A228" s="192" t="s">
        <v>315</v>
      </c>
      <c r="B228" s="16" t="s">
        <v>316</v>
      </c>
      <c r="C228" s="193"/>
      <c r="D228" s="194"/>
      <c r="E228" s="194"/>
      <c r="F228" s="195">
        <f>F229</f>
        <v>0</v>
      </c>
      <c r="H228" s="6"/>
    </row>
    <row r="229" spans="1:8" s="4" customFormat="1" ht="48.95" hidden="1" customHeight="1" x14ac:dyDescent="0.25">
      <c r="A229" s="151" t="s">
        <v>173</v>
      </c>
      <c r="B229" s="16" t="s">
        <v>316</v>
      </c>
      <c r="C229" s="110">
        <v>200</v>
      </c>
      <c r="D229" s="194"/>
      <c r="E229" s="194"/>
      <c r="F229" s="195">
        <f>F230</f>
        <v>0</v>
      </c>
      <c r="H229" s="6"/>
    </row>
    <row r="230" spans="1:8" s="4" customFormat="1" ht="44.85" hidden="1" customHeight="1" x14ac:dyDescent="0.25">
      <c r="A230" s="153" t="s">
        <v>175</v>
      </c>
      <c r="B230" s="16" t="s">
        <v>316</v>
      </c>
      <c r="C230" s="110">
        <v>240</v>
      </c>
      <c r="D230" s="194"/>
      <c r="E230" s="194"/>
      <c r="F230" s="195">
        <f>F231</f>
        <v>0</v>
      </c>
      <c r="H230" s="6"/>
    </row>
    <row r="231" spans="1:8" s="4" customFormat="1" ht="43.5" hidden="1" customHeight="1" x14ac:dyDescent="0.25">
      <c r="A231" s="128" t="s">
        <v>141</v>
      </c>
      <c r="B231" s="16" t="s">
        <v>316</v>
      </c>
      <c r="C231" s="110">
        <v>240</v>
      </c>
      <c r="D231" s="129" t="s">
        <v>142</v>
      </c>
      <c r="E231" s="129" t="s">
        <v>143</v>
      </c>
      <c r="F231" s="195">
        <v>0</v>
      </c>
      <c r="H231" s="6"/>
    </row>
    <row r="232" spans="1:8" s="4" customFormat="1" ht="69.75" customHeight="1" x14ac:dyDescent="0.25">
      <c r="A232" s="240" t="s">
        <v>442</v>
      </c>
      <c r="B232" s="243" t="s">
        <v>441</v>
      </c>
      <c r="C232" s="193"/>
      <c r="D232" s="194"/>
      <c r="E232" s="194"/>
      <c r="F232" s="143">
        <f>F233</f>
        <v>719</v>
      </c>
      <c r="H232" s="6"/>
    </row>
    <row r="233" spans="1:8" s="4" customFormat="1" ht="78.75" customHeight="1" x14ac:dyDescent="0.25">
      <c r="A233" s="244" t="s">
        <v>443</v>
      </c>
      <c r="B233" s="203" t="s">
        <v>445</v>
      </c>
      <c r="C233" s="193"/>
      <c r="D233" s="194"/>
      <c r="E233" s="194"/>
      <c r="F233" s="195">
        <f>F234+F238</f>
        <v>719</v>
      </c>
      <c r="H233" s="6"/>
    </row>
    <row r="234" spans="1:8" s="4" customFormat="1" ht="54.75" customHeight="1" x14ac:dyDescent="0.25">
      <c r="A234" s="241" t="s">
        <v>506</v>
      </c>
      <c r="B234" s="308" t="s">
        <v>522</v>
      </c>
      <c r="C234" s="193"/>
      <c r="D234" s="194"/>
      <c r="E234" s="194"/>
      <c r="F234" s="195">
        <f>F235</f>
        <v>639</v>
      </c>
      <c r="H234" s="6"/>
    </row>
    <row r="235" spans="1:8" s="4" customFormat="1" ht="39" customHeight="1" x14ac:dyDescent="0.25">
      <c r="A235" s="242" t="s">
        <v>41</v>
      </c>
      <c r="B235" s="308" t="s">
        <v>522</v>
      </c>
      <c r="C235" s="193">
        <v>200</v>
      </c>
      <c r="D235" s="194"/>
      <c r="E235" s="194"/>
      <c r="F235" s="195">
        <f>F236</f>
        <v>639</v>
      </c>
      <c r="H235" s="6"/>
    </row>
    <row r="236" spans="1:8" s="4" customFormat="1" ht="44.25" customHeight="1" x14ac:dyDescent="0.25">
      <c r="A236" s="242" t="s">
        <v>42</v>
      </c>
      <c r="B236" s="308" t="s">
        <v>522</v>
      </c>
      <c r="C236" s="193">
        <v>240</v>
      </c>
      <c r="D236" s="194"/>
      <c r="E236" s="194"/>
      <c r="F236" s="195">
        <f>F237</f>
        <v>639</v>
      </c>
      <c r="H236" s="6"/>
    </row>
    <row r="237" spans="1:8" s="4" customFormat="1" ht="31.5" customHeight="1" x14ac:dyDescent="0.25">
      <c r="A237" s="34" t="s">
        <v>141</v>
      </c>
      <c r="B237" s="308" t="s">
        <v>522</v>
      </c>
      <c r="C237" s="193">
        <v>240</v>
      </c>
      <c r="D237" s="194" t="s">
        <v>142</v>
      </c>
      <c r="E237" s="194" t="s">
        <v>143</v>
      </c>
      <c r="F237" s="195">
        <v>639</v>
      </c>
      <c r="H237" s="6"/>
    </row>
    <row r="238" spans="1:8" s="4" customFormat="1" ht="76.5" customHeight="1" x14ac:dyDescent="0.25">
      <c r="A238" s="241" t="s">
        <v>444</v>
      </c>
      <c r="B238" s="203" t="s">
        <v>446</v>
      </c>
      <c r="C238" s="193"/>
      <c r="D238" s="194"/>
      <c r="E238" s="194"/>
      <c r="F238" s="195">
        <v>80</v>
      </c>
      <c r="H238" s="6"/>
    </row>
    <row r="239" spans="1:8" s="4" customFormat="1" ht="33" customHeight="1" x14ac:dyDescent="0.25">
      <c r="A239" s="242" t="s">
        <v>41</v>
      </c>
      <c r="B239" s="203" t="s">
        <v>446</v>
      </c>
      <c r="C239" s="193">
        <v>200</v>
      </c>
      <c r="D239" s="194"/>
      <c r="E239" s="194"/>
      <c r="F239" s="195">
        <v>80</v>
      </c>
      <c r="H239" s="6"/>
    </row>
    <row r="240" spans="1:8" s="4" customFormat="1" ht="28.5" customHeight="1" x14ac:dyDescent="0.25">
      <c r="A240" s="153" t="s">
        <v>175</v>
      </c>
      <c r="B240" s="203" t="s">
        <v>446</v>
      </c>
      <c r="C240" s="193">
        <v>240</v>
      </c>
      <c r="D240" s="194"/>
      <c r="E240" s="194"/>
      <c r="F240" s="195">
        <v>80</v>
      </c>
      <c r="H240" s="6"/>
    </row>
    <row r="241" spans="1:8" s="4" customFormat="1" ht="26.25" customHeight="1" x14ac:dyDescent="0.25">
      <c r="A241" s="153" t="s">
        <v>152</v>
      </c>
      <c r="B241" s="203" t="s">
        <v>446</v>
      </c>
      <c r="C241" s="193">
        <v>240</v>
      </c>
      <c r="D241" s="152" t="s">
        <v>142</v>
      </c>
      <c r="E241" s="152" t="s">
        <v>64</v>
      </c>
      <c r="F241" s="195">
        <v>80</v>
      </c>
      <c r="H241" s="6"/>
    </row>
    <row r="242" spans="1:8" s="4" customFormat="1" ht="43.5" customHeight="1" x14ac:dyDescent="0.25">
      <c r="A242" s="240" t="s">
        <v>438</v>
      </c>
      <c r="B242" s="243" t="s">
        <v>436</v>
      </c>
      <c r="C242" s="193"/>
      <c r="D242" s="194"/>
      <c r="E242" s="194"/>
      <c r="F242" s="30">
        <f>F243</f>
        <v>94.8</v>
      </c>
      <c r="H242" s="6"/>
    </row>
    <row r="243" spans="1:8" s="4" customFormat="1" ht="43.5" customHeight="1" x14ac:dyDescent="0.25">
      <c r="A243" s="244" t="s">
        <v>439</v>
      </c>
      <c r="B243" s="203" t="s">
        <v>437</v>
      </c>
      <c r="C243" s="193"/>
      <c r="D243" s="194"/>
      <c r="E243" s="194"/>
      <c r="F243" s="35">
        <f>F244</f>
        <v>94.8</v>
      </c>
      <c r="H243" s="6"/>
    </row>
    <row r="244" spans="1:8" s="4" customFormat="1" ht="43.5" customHeight="1" x14ac:dyDescent="0.25">
      <c r="A244" s="241" t="s">
        <v>440</v>
      </c>
      <c r="B244" s="203" t="s">
        <v>472</v>
      </c>
      <c r="C244" s="193"/>
      <c r="D244" s="194"/>
      <c r="E244" s="194"/>
      <c r="F244" s="35">
        <f>F245</f>
        <v>94.8</v>
      </c>
      <c r="H244" s="6"/>
    </row>
    <row r="245" spans="1:8" s="4" customFormat="1" ht="30" customHeight="1" x14ac:dyDescent="0.25">
      <c r="A245" s="242" t="s">
        <v>41</v>
      </c>
      <c r="B245" s="203" t="s">
        <v>472</v>
      </c>
      <c r="C245" s="193">
        <v>200</v>
      </c>
      <c r="D245" s="194"/>
      <c r="E245" s="194"/>
      <c r="F245" s="35">
        <f>F246</f>
        <v>94.8</v>
      </c>
      <c r="H245" s="6"/>
    </row>
    <row r="246" spans="1:8" s="4" customFormat="1" ht="31.5" customHeight="1" x14ac:dyDescent="0.25">
      <c r="A246" s="153" t="s">
        <v>175</v>
      </c>
      <c r="B246" s="203" t="s">
        <v>472</v>
      </c>
      <c r="C246" s="193">
        <v>240</v>
      </c>
      <c r="D246" s="194"/>
      <c r="E246" s="194"/>
      <c r="F246" s="35">
        <f>F247</f>
        <v>94.8</v>
      </c>
      <c r="H246" s="6"/>
    </row>
    <row r="247" spans="1:8" s="4" customFormat="1" ht="26.25" customHeight="1" x14ac:dyDescent="0.25">
      <c r="A247" s="153" t="s">
        <v>152</v>
      </c>
      <c r="B247" s="203" t="s">
        <v>472</v>
      </c>
      <c r="C247" s="193">
        <v>240</v>
      </c>
      <c r="D247" s="152" t="s">
        <v>142</v>
      </c>
      <c r="E247" s="152" t="s">
        <v>64</v>
      </c>
      <c r="F247" s="35">
        <f>94.8</f>
        <v>94.8</v>
      </c>
      <c r="H247" s="6"/>
    </row>
    <row r="248" spans="1:8" s="4" customFormat="1" ht="51" customHeight="1" x14ac:dyDescent="0.25">
      <c r="A248" s="141" t="s">
        <v>347</v>
      </c>
      <c r="B248" s="142" t="s">
        <v>171</v>
      </c>
      <c r="C248" s="142"/>
      <c r="D248" s="142"/>
      <c r="E248" s="142"/>
      <c r="F248" s="143">
        <f>F254+F249</f>
        <v>23000.9</v>
      </c>
      <c r="G248" s="5"/>
      <c r="H248" s="6"/>
    </row>
    <row r="249" spans="1:8" s="179" customFormat="1" ht="38.25" hidden="1" x14ac:dyDescent="0.25">
      <c r="A249" s="144" t="s">
        <v>285</v>
      </c>
      <c r="B249" s="32" t="s">
        <v>286</v>
      </c>
      <c r="C249" s="32"/>
      <c r="D249" s="32"/>
      <c r="E249" s="32"/>
      <c r="F249" s="145">
        <f>F250</f>
        <v>0</v>
      </c>
      <c r="G249" s="180"/>
    </row>
    <row r="250" spans="1:8" s="179" customFormat="1" ht="38.25" hidden="1" x14ac:dyDescent="0.25">
      <c r="A250" s="146" t="s">
        <v>172</v>
      </c>
      <c r="B250" s="147" t="s">
        <v>287</v>
      </c>
      <c r="C250" s="147"/>
      <c r="D250" s="147"/>
      <c r="E250" s="147"/>
      <c r="F250" s="148">
        <f>F251</f>
        <v>0</v>
      </c>
      <c r="G250" s="180"/>
    </row>
    <row r="251" spans="1:8" s="179" customFormat="1" ht="25.5" hidden="1" x14ac:dyDescent="0.25">
      <c r="A251" s="149" t="s">
        <v>173</v>
      </c>
      <c r="B251" s="147" t="s">
        <v>287</v>
      </c>
      <c r="C251" s="147" t="s">
        <v>174</v>
      </c>
      <c r="D251" s="147"/>
      <c r="E251" s="147"/>
      <c r="F251" s="148">
        <f>F252</f>
        <v>0</v>
      </c>
      <c r="G251" s="180"/>
    </row>
    <row r="252" spans="1:8" s="179" customFormat="1" ht="25.5" hidden="1" x14ac:dyDescent="0.25">
      <c r="A252" s="150" t="s">
        <v>175</v>
      </c>
      <c r="B252" s="147" t="s">
        <v>287</v>
      </c>
      <c r="C252" s="16" t="s">
        <v>176</v>
      </c>
      <c r="D252" s="147"/>
      <c r="E252" s="147"/>
      <c r="F252" s="148">
        <f>F253</f>
        <v>0</v>
      </c>
      <c r="G252" s="180"/>
    </row>
    <row r="253" spans="1:8" s="179" customFormat="1" ht="15.75" hidden="1" x14ac:dyDescent="0.25">
      <c r="A253" s="150" t="s">
        <v>152</v>
      </c>
      <c r="B253" s="147" t="s">
        <v>287</v>
      </c>
      <c r="C253" s="16" t="s">
        <v>176</v>
      </c>
      <c r="D253" s="147" t="s">
        <v>142</v>
      </c>
      <c r="E253" s="147" t="s">
        <v>64</v>
      </c>
      <c r="F253" s="148">
        <v>0</v>
      </c>
      <c r="G253" s="180"/>
    </row>
    <row r="254" spans="1:8" s="4" customFormat="1" ht="31.5" customHeight="1" x14ac:dyDescent="0.25">
      <c r="A254" s="208" t="s">
        <v>351</v>
      </c>
      <c r="B254" s="61" t="s">
        <v>340</v>
      </c>
      <c r="C254" s="61"/>
      <c r="D254" s="61"/>
      <c r="E254" s="61"/>
      <c r="F254" s="127">
        <f>F255</f>
        <v>23000.9</v>
      </c>
      <c r="H254" s="6"/>
    </row>
    <row r="255" spans="1:8" s="4" customFormat="1" ht="31.5" customHeight="1" x14ac:dyDescent="0.25">
      <c r="A255" s="151" t="s">
        <v>352</v>
      </c>
      <c r="B255" s="152" t="s">
        <v>339</v>
      </c>
      <c r="C255" s="152"/>
      <c r="D255" s="152"/>
      <c r="E255" s="152"/>
      <c r="F255" s="130">
        <f>F256</f>
        <v>23000.9</v>
      </c>
      <c r="H255" s="6"/>
    </row>
    <row r="256" spans="1:8" s="4" customFormat="1" ht="30.75" customHeight="1" x14ac:dyDescent="0.25">
      <c r="A256" s="151" t="s">
        <v>173</v>
      </c>
      <c r="B256" s="152" t="s">
        <v>339</v>
      </c>
      <c r="C256" s="152" t="s">
        <v>174</v>
      </c>
      <c r="D256" s="152"/>
      <c r="E256" s="152"/>
      <c r="F256" s="130">
        <f>F257</f>
        <v>23000.9</v>
      </c>
      <c r="H256" s="6"/>
    </row>
    <row r="257" spans="1:8" s="4" customFormat="1" ht="35.25" customHeight="1" x14ac:dyDescent="0.25">
      <c r="A257" s="153" t="s">
        <v>175</v>
      </c>
      <c r="B257" s="152" t="s">
        <v>339</v>
      </c>
      <c r="C257" s="39" t="s">
        <v>176</v>
      </c>
      <c r="D257" s="152"/>
      <c r="E257" s="152"/>
      <c r="F257" s="130">
        <f>F258</f>
        <v>23000.9</v>
      </c>
      <c r="H257" s="6"/>
    </row>
    <row r="258" spans="1:8" s="4" customFormat="1" ht="33.75" customHeight="1" x14ac:dyDescent="0.25">
      <c r="A258" s="153" t="s">
        <v>152</v>
      </c>
      <c r="B258" s="152" t="s">
        <v>339</v>
      </c>
      <c r="C258" s="39" t="s">
        <v>176</v>
      </c>
      <c r="D258" s="152" t="s">
        <v>142</v>
      </c>
      <c r="E258" s="152" t="s">
        <v>64</v>
      </c>
      <c r="F258" s="130">
        <f>27200-3858.1-341</f>
        <v>23000.9</v>
      </c>
      <c r="H258" s="6"/>
    </row>
    <row r="259" spans="1:8" s="4" customFormat="1" ht="15.75" x14ac:dyDescent="0.25">
      <c r="A259" s="154" t="s">
        <v>177</v>
      </c>
      <c r="B259" s="155"/>
      <c r="C259" s="155"/>
      <c r="D259" s="155"/>
      <c r="E259" s="156"/>
      <c r="F259" s="157">
        <f>F260+F318+F333</f>
        <v>53250.248000000007</v>
      </c>
    </row>
    <row r="260" spans="1:8" s="4" customFormat="1" ht="36.75" customHeight="1" x14ac:dyDescent="0.25">
      <c r="A260" s="18" t="s">
        <v>12</v>
      </c>
      <c r="B260" s="19" t="s">
        <v>13</v>
      </c>
      <c r="C260" s="19"/>
      <c r="D260" s="19"/>
      <c r="E260" s="19"/>
      <c r="F260" s="158">
        <f>F272+F312</f>
        <v>34717.804000000004</v>
      </c>
    </row>
    <row r="261" spans="1:8" s="4" customFormat="1" ht="27" hidden="1" x14ac:dyDescent="0.25">
      <c r="A261" s="26" t="s">
        <v>311</v>
      </c>
      <c r="B261" s="27" t="s">
        <v>291</v>
      </c>
      <c r="C261" s="27"/>
      <c r="D261" s="27"/>
      <c r="E261" s="27"/>
      <c r="F261" s="159">
        <f>F262</f>
        <v>0</v>
      </c>
    </row>
    <row r="262" spans="1:8" s="4" customFormat="1" ht="15.75" hidden="1" x14ac:dyDescent="0.25">
      <c r="A262" s="31" t="s">
        <v>16</v>
      </c>
      <c r="B262" s="32" t="s">
        <v>292</v>
      </c>
      <c r="C262" s="32"/>
      <c r="D262" s="32"/>
      <c r="E262" s="32"/>
      <c r="F262" s="160">
        <f>F263</f>
        <v>0</v>
      </c>
      <c r="H262" s="6"/>
    </row>
    <row r="263" spans="1:8" s="4" customFormat="1" ht="15.75" hidden="1" x14ac:dyDescent="0.25">
      <c r="A263" s="34" t="s">
        <v>311</v>
      </c>
      <c r="B263" s="16" t="s">
        <v>293</v>
      </c>
      <c r="C263" s="16"/>
      <c r="D263" s="16"/>
      <c r="E263" s="16"/>
      <c r="F263" s="161">
        <f>F264+F267+F270</f>
        <v>0</v>
      </c>
    </row>
    <row r="264" spans="1:8" s="4" customFormat="1" ht="63.75" hidden="1" x14ac:dyDescent="0.25">
      <c r="A264" s="34" t="s">
        <v>180</v>
      </c>
      <c r="B264" s="16" t="s">
        <v>293</v>
      </c>
      <c r="C264" s="16" t="s">
        <v>181</v>
      </c>
      <c r="D264" s="16"/>
      <c r="E264" s="16"/>
      <c r="F264" s="161">
        <f>F265</f>
        <v>0</v>
      </c>
    </row>
    <row r="265" spans="1:8" s="4" customFormat="1" ht="25.5" hidden="1" x14ac:dyDescent="0.25">
      <c r="A265" s="36" t="s">
        <v>182</v>
      </c>
      <c r="B265" s="16" t="s">
        <v>293</v>
      </c>
      <c r="C265" s="16" t="s">
        <v>183</v>
      </c>
      <c r="D265" s="16"/>
      <c r="E265" s="16"/>
      <c r="F265" s="161">
        <f>F266</f>
        <v>0</v>
      </c>
    </row>
    <row r="266" spans="1:8" s="4" customFormat="1" ht="25.5" hidden="1" x14ac:dyDescent="0.25">
      <c r="A266" s="34" t="s">
        <v>310</v>
      </c>
      <c r="B266" s="16" t="s">
        <v>293</v>
      </c>
      <c r="C266" s="16" t="s">
        <v>183</v>
      </c>
      <c r="D266" s="16" t="s">
        <v>40</v>
      </c>
      <c r="E266" s="16" t="s">
        <v>143</v>
      </c>
      <c r="F266" s="161">
        <v>0</v>
      </c>
    </row>
    <row r="267" spans="1:8" s="4" customFormat="1" ht="25.5" hidden="1" x14ac:dyDescent="0.25">
      <c r="A267" s="151" t="s">
        <v>173</v>
      </c>
      <c r="B267" s="16" t="s">
        <v>293</v>
      </c>
      <c r="C267" s="152" t="s">
        <v>174</v>
      </c>
      <c r="D267" s="152"/>
      <c r="E267" s="152"/>
      <c r="F267" s="130">
        <f>F268</f>
        <v>0</v>
      </c>
    </row>
    <row r="268" spans="1:8" s="4" customFormat="1" ht="25.5" hidden="1" x14ac:dyDescent="0.25">
      <c r="A268" s="153" t="s">
        <v>175</v>
      </c>
      <c r="B268" s="16" t="s">
        <v>293</v>
      </c>
      <c r="C268" s="39" t="s">
        <v>176</v>
      </c>
      <c r="D268" s="152"/>
      <c r="E268" s="152"/>
      <c r="F268" s="130">
        <f>F269</f>
        <v>0</v>
      </c>
    </row>
    <row r="269" spans="1:8" s="4" customFormat="1" ht="30" hidden="1" customHeight="1" x14ac:dyDescent="0.25">
      <c r="A269" s="153" t="s">
        <v>310</v>
      </c>
      <c r="B269" s="16" t="s">
        <v>293</v>
      </c>
      <c r="C269" s="39" t="s">
        <v>176</v>
      </c>
      <c r="D269" s="152" t="s">
        <v>40</v>
      </c>
      <c r="E269" s="152" t="s">
        <v>143</v>
      </c>
      <c r="F269" s="130">
        <v>0</v>
      </c>
    </row>
    <row r="270" spans="1:8" s="4" customFormat="1" ht="30" hidden="1" customHeight="1" x14ac:dyDescent="0.25">
      <c r="A270" s="36" t="s">
        <v>186</v>
      </c>
      <c r="B270" s="16" t="s">
        <v>293</v>
      </c>
      <c r="C270" s="16" t="s">
        <v>187</v>
      </c>
      <c r="D270" s="16"/>
      <c r="E270" s="16"/>
      <c r="F270" s="161">
        <f>F271</f>
        <v>0</v>
      </c>
    </row>
    <row r="271" spans="1:8" s="4" customFormat="1" ht="38.25" hidden="1" customHeight="1" x14ac:dyDescent="0.25">
      <c r="A271" s="153" t="s">
        <v>310</v>
      </c>
      <c r="B271" s="16" t="s">
        <v>293</v>
      </c>
      <c r="C271" s="16" t="s">
        <v>187</v>
      </c>
      <c r="D271" s="16" t="s">
        <v>40</v>
      </c>
      <c r="E271" s="16" t="s">
        <v>143</v>
      </c>
      <c r="F271" s="161">
        <v>0</v>
      </c>
    </row>
    <row r="272" spans="1:8" s="4" customFormat="1" ht="54" x14ac:dyDescent="0.25">
      <c r="A272" s="26" t="s">
        <v>14</v>
      </c>
      <c r="B272" s="27" t="s">
        <v>15</v>
      </c>
      <c r="C272" s="27"/>
      <c r="D272" s="27"/>
      <c r="E272" s="27"/>
      <c r="F272" s="159">
        <f>F273</f>
        <v>32665.439000000002</v>
      </c>
    </row>
    <row r="273" spans="1:8" s="4" customFormat="1" ht="26.25" customHeight="1" x14ac:dyDescent="0.25">
      <c r="A273" s="31" t="s">
        <v>16</v>
      </c>
      <c r="B273" s="32" t="s">
        <v>17</v>
      </c>
      <c r="C273" s="32"/>
      <c r="D273" s="32"/>
      <c r="E273" s="32"/>
      <c r="F273" s="160">
        <f>F274+F286+F290+F294+F298+F305</f>
        <v>32665.439000000002</v>
      </c>
      <c r="H273" s="6"/>
    </row>
    <row r="274" spans="1:8" s="4" customFormat="1" ht="28.5" customHeight="1" x14ac:dyDescent="0.25">
      <c r="A274" s="34" t="s">
        <v>178</v>
      </c>
      <c r="B274" s="16" t="s">
        <v>179</v>
      </c>
      <c r="C274" s="16"/>
      <c r="D274" s="16"/>
      <c r="E274" s="16"/>
      <c r="F274" s="161">
        <f>F275+F278+F281</f>
        <v>29428.138999999999</v>
      </c>
    </row>
    <row r="275" spans="1:8" s="4" customFormat="1" ht="63.75" x14ac:dyDescent="0.25">
      <c r="A275" s="34" t="s">
        <v>180</v>
      </c>
      <c r="B275" s="16" t="s">
        <v>179</v>
      </c>
      <c r="C275" s="16" t="s">
        <v>181</v>
      </c>
      <c r="D275" s="16"/>
      <c r="E275" s="16"/>
      <c r="F275" s="161">
        <f>F276</f>
        <v>23189.885999999999</v>
      </c>
    </row>
    <row r="276" spans="1:8" s="4" customFormat="1" ht="33.75" customHeight="1" x14ac:dyDescent="0.25">
      <c r="A276" s="36" t="s">
        <v>182</v>
      </c>
      <c r="B276" s="16" t="s">
        <v>179</v>
      </c>
      <c r="C276" s="16" t="s">
        <v>183</v>
      </c>
      <c r="D276" s="16"/>
      <c r="E276" s="16"/>
      <c r="F276" s="161">
        <f>F277</f>
        <v>23189.885999999999</v>
      </c>
    </row>
    <row r="277" spans="1:8" s="4" customFormat="1" ht="38.25" x14ac:dyDescent="0.25">
      <c r="A277" s="34" t="s">
        <v>184</v>
      </c>
      <c r="B277" s="16" t="s">
        <v>179</v>
      </c>
      <c r="C277" s="16" t="s">
        <v>183</v>
      </c>
      <c r="D277" s="16" t="s">
        <v>40</v>
      </c>
      <c r="E277" s="16" t="s">
        <v>52</v>
      </c>
      <c r="F277" s="161">
        <v>23189.885999999999</v>
      </c>
    </row>
    <row r="278" spans="1:8" s="4" customFormat="1" ht="25.5" x14ac:dyDescent="0.25">
      <c r="A278" s="128" t="s">
        <v>41</v>
      </c>
      <c r="B278" s="16" t="s">
        <v>179</v>
      </c>
      <c r="C278" s="16" t="s">
        <v>174</v>
      </c>
      <c r="D278" s="16"/>
      <c r="E278" s="16"/>
      <c r="F278" s="161">
        <f>F279</f>
        <v>6034.3810000000003</v>
      </c>
    </row>
    <row r="279" spans="1:8" s="4" customFormat="1" ht="25.5" x14ac:dyDescent="0.25">
      <c r="A279" s="36" t="s">
        <v>175</v>
      </c>
      <c r="B279" s="16" t="s">
        <v>179</v>
      </c>
      <c r="C279" s="16" t="s">
        <v>176</v>
      </c>
      <c r="D279" s="16"/>
      <c r="E279" s="16"/>
      <c r="F279" s="161">
        <f>F280</f>
        <v>6034.3810000000003</v>
      </c>
    </row>
    <row r="280" spans="1:8" s="4" customFormat="1" ht="38.25" x14ac:dyDescent="0.25">
      <c r="A280" s="34" t="s">
        <v>184</v>
      </c>
      <c r="B280" s="16" t="s">
        <v>179</v>
      </c>
      <c r="C280" s="16" t="s">
        <v>176</v>
      </c>
      <c r="D280" s="16" t="s">
        <v>40</v>
      </c>
      <c r="E280" s="16" t="s">
        <v>52</v>
      </c>
      <c r="F280" s="161">
        <v>6034.3810000000003</v>
      </c>
    </row>
    <row r="281" spans="1:8" s="4" customFormat="1" ht="21" customHeight="1" x14ac:dyDescent="0.25">
      <c r="A281" s="128" t="s">
        <v>43</v>
      </c>
      <c r="B281" s="16" t="s">
        <v>179</v>
      </c>
      <c r="C281" s="16" t="s">
        <v>185</v>
      </c>
      <c r="D281" s="16"/>
      <c r="E281" s="16"/>
      <c r="F281" s="161">
        <f>F282+F284</f>
        <v>203.87200000000001</v>
      </c>
    </row>
    <row r="282" spans="1:8" s="4" customFormat="1" ht="15.75" hidden="1" x14ac:dyDescent="0.25">
      <c r="A282" s="128" t="s">
        <v>334</v>
      </c>
      <c r="B282" s="16" t="s">
        <v>179</v>
      </c>
      <c r="C282" s="16" t="s">
        <v>333</v>
      </c>
      <c r="D282" s="16"/>
      <c r="E282" s="16"/>
      <c r="F282" s="161">
        <f>F283</f>
        <v>0</v>
      </c>
    </row>
    <row r="283" spans="1:8" s="4" customFormat="1" ht="38.25" hidden="1" x14ac:dyDescent="0.25">
      <c r="A283" s="34" t="s">
        <v>184</v>
      </c>
      <c r="B283" s="16" t="s">
        <v>179</v>
      </c>
      <c r="C283" s="16" t="s">
        <v>333</v>
      </c>
      <c r="D283" s="16" t="s">
        <v>40</v>
      </c>
      <c r="E283" s="16" t="s">
        <v>52</v>
      </c>
      <c r="F283" s="161">
        <v>0</v>
      </c>
    </row>
    <row r="284" spans="1:8" s="4" customFormat="1" ht="24.75" customHeight="1" x14ac:dyDescent="0.25">
      <c r="A284" s="36" t="s">
        <v>186</v>
      </c>
      <c r="B284" s="16" t="s">
        <v>179</v>
      </c>
      <c r="C284" s="16" t="s">
        <v>187</v>
      </c>
      <c r="D284" s="16"/>
      <c r="E284" s="16"/>
      <c r="F284" s="161">
        <f>F285</f>
        <v>203.87200000000001</v>
      </c>
    </row>
    <row r="285" spans="1:8" s="4" customFormat="1" ht="38.25" x14ac:dyDescent="0.25">
      <c r="A285" s="34" t="s">
        <v>184</v>
      </c>
      <c r="B285" s="16" t="s">
        <v>179</v>
      </c>
      <c r="C285" s="16" t="s">
        <v>187</v>
      </c>
      <c r="D285" s="16" t="s">
        <v>40</v>
      </c>
      <c r="E285" s="16" t="s">
        <v>52</v>
      </c>
      <c r="F285" s="161">
        <v>203.87200000000001</v>
      </c>
    </row>
    <row r="286" spans="1:8" s="4" customFormat="1" ht="38.25" x14ac:dyDescent="0.25">
      <c r="A286" s="38" t="s">
        <v>20</v>
      </c>
      <c r="B286" s="16" t="s">
        <v>21</v>
      </c>
      <c r="C286" s="16"/>
      <c r="D286" s="16"/>
      <c r="E286" s="16"/>
      <c r="F286" s="161">
        <f>F288</f>
        <v>69.323999999999998</v>
      </c>
    </row>
    <row r="287" spans="1:8" s="4" customFormat="1" ht="25.5" x14ac:dyDescent="0.25">
      <c r="A287" s="162" t="s">
        <v>188</v>
      </c>
      <c r="B287" s="16" t="s">
        <v>21</v>
      </c>
      <c r="C287" s="16" t="s">
        <v>189</v>
      </c>
      <c r="D287" s="16"/>
      <c r="E287" s="16"/>
      <c r="F287" s="161">
        <f>F288</f>
        <v>69.323999999999998</v>
      </c>
    </row>
    <row r="288" spans="1:8" s="4" customFormat="1" ht="25.5" customHeight="1" x14ac:dyDescent="0.25">
      <c r="A288" s="36" t="s">
        <v>190</v>
      </c>
      <c r="B288" s="16" t="s">
        <v>21</v>
      </c>
      <c r="C288" s="16" t="s">
        <v>5</v>
      </c>
      <c r="D288" s="16"/>
      <c r="E288" s="16"/>
      <c r="F288" s="161">
        <f>F289</f>
        <v>69.323999999999998</v>
      </c>
    </row>
    <row r="289" spans="1:6" s="4" customFormat="1" ht="38.25" x14ac:dyDescent="0.25">
      <c r="A289" s="34" t="s">
        <v>184</v>
      </c>
      <c r="B289" s="16" t="s">
        <v>21</v>
      </c>
      <c r="C289" s="16" t="s">
        <v>5</v>
      </c>
      <c r="D289" s="16" t="s">
        <v>40</v>
      </c>
      <c r="E289" s="16" t="s">
        <v>52</v>
      </c>
      <c r="F289" s="161">
        <v>69.323999999999998</v>
      </c>
    </row>
    <row r="290" spans="1:6" s="4" customFormat="1" ht="38.25" x14ac:dyDescent="0.25">
      <c r="A290" s="38" t="s">
        <v>191</v>
      </c>
      <c r="B290" s="16" t="s">
        <v>18</v>
      </c>
      <c r="C290" s="16"/>
      <c r="D290" s="16"/>
      <c r="E290" s="16"/>
      <c r="F290" s="161">
        <f>F292</f>
        <v>505.1</v>
      </c>
    </row>
    <row r="291" spans="1:6" s="4" customFormat="1" ht="25.5" x14ac:dyDescent="0.25">
      <c r="A291" s="162" t="s">
        <v>188</v>
      </c>
      <c r="B291" s="16" t="s">
        <v>18</v>
      </c>
      <c r="C291" s="16" t="s">
        <v>189</v>
      </c>
      <c r="D291" s="16"/>
      <c r="E291" s="16"/>
      <c r="F291" s="161">
        <f>F292</f>
        <v>505.1</v>
      </c>
    </row>
    <row r="292" spans="1:6" s="4" customFormat="1" ht="24" customHeight="1" x14ac:dyDescent="0.25">
      <c r="A292" s="36" t="s">
        <v>190</v>
      </c>
      <c r="B292" s="16" t="s">
        <v>18</v>
      </c>
      <c r="C292" s="16" t="s">
        <v>5</v>
      </c>
      <c r="D292" s="16"/>
      <c r="E292" s="16"/>
      <c r="F292" s="161">
        <f>F293</f>
        <v>505.1</v>
      </c>
    </row>
    <row r="293" spans="1:6" s="4" customFormat="1" ht="38.25" x14ac:dyDescent="0.25">
      <c r="A293" s="34" t="s">
        <v>184</v>
      </c>
      <c r="B293" s="16" t="s">
        <v>18</v>
      </c>
      <c r="C293" s="16" t="s">
        <v>5</v>
      </c>
      <c r="D293" s="16" t="s">
        <v>40</v>
      </c>
      <c r="E293" s="16" t="s">
        <v>52</v>
      </c>
      <c r="F293" s="161">
        <v>505.1</v>
      </c>
    </row>
    <row r="294" spans="1:6" s="4" customFormat="1" ht="38.25" x14ac:dyDescent="0.25">
      <c r="A294" s="38" t="s">
        <v>8</v>
      </c>
      <c r="B294" s="16" t="s">
        <v>19</v>
      </c>
      <c r="C294" s="16"/>
      <c r="D294" s="16"/>
      <c r="E294" s="16"/>
      <c r="F294" s="161">
        <f>F296</f>
        <v>719.06100000000004</v>
      </c>
    </row>
    <row r="295" spans="1:6" s="4" customFormat="1" ht="25.5" x14ac:dyDescent="0.25">
      <c r="A295" s="162" t="s">
        <v>188</v>
      </c>
      <c r="B295" s="16" t="s">
        <v>19</v>
      </c>
      <c r="C295" s="16" t="s">
        <v>189</v>
      </c>
      <c r="D295" s="16"/>
      <c r="E295" s="16"/>
      <c r="F295" s="161">
        <f>F296</f>
        <v>719.06100000000004</v>
      </c>
    </row>
    <row r="296" spans="1:6" s="4" customFormat="1" ht="27.75" customHeight="1" x14ac:dyDescent="0.25">
      <c r="A296" s="36" t="s">
        <v>190</v>
      </c>
      <c r="B296" s="16" t="s">
        <v>19</v>
      </c>
      <c r="C296" s="16" t="s">
        <v>5</v>
      </c>
      <c r="D296" s="16"/>
      <c r="E296" s="16"/>
      <c r="F296" s="161">
        <f>F297</f>
        <v>719.06100000000004</v>
      </c>
    </row>
    <row r="297" spans="1:6" s="4" customFormat="1" ht="39" x14ac:dyDescent="0.25">
      <c r="A297" s="184" t="s">
        <v>7</v>
      </c>
      <c r="B297" s="185" t="s">
        <v>19</v>
      </c>
      <c r="C297" s="185" t="s">
        <v>5</v>
      </c>
      <c r="D297" s="185" t="s">
        <v>40</v>
      </c>
      <c r="E297" s="185" t="s">
        <v>192</v>
      </c>
      <c r="F297" s="186">
        <v>719.06100000000004</v>
      </c>
    </row>
    <row r="298" spans="1:6" s="182" customFormat="1" ht="48" x14ac:dyDescent="0.2">
      <c r="A298" s="191" t="s">
        <v>302</v>
      </c>
      <c r="B298" s="183" t="s">
        <v>303</v>
      </c>
      <c r="C298" s="183"/>
      <c r="D298" s="16"/>
      <c r="E298" s="16"/>
      <c r="F298" s="163">
        <f>F299+F302</f>
        <v>1933.2550000000001</v>
      </c>
    </row>
    <row r="299" spans="1:6" s="182" customFormat="1" ht="60" x14ac:dyDescent="0.2">
      <c r="A299" s="187" t="s">
        <v>180</v>
      </c>
      <c r="B299" s="183" t="s">
        <v>303</v>
      </c>
      <c r="C299" s="183" t="s">
        <v>181</v>
      </c>
      <c r="D299" s="16"/>
      <c r="E299" s="16"/>
      <c r="F299" s="163">
        <f>F300</f>
        <v>1836.335</v>
      </c>
    </row>
    <row r="300" spans="1:6" s="182" customFormat="1" ht="24" x14ac:dyDescent="0.2">
      <c r="A300" s="188" t="s">
        <v>182</v>
      </c>
      <c r="B300" s="183" t="s">
        <v>303</v>
      </c>
      <c r="C300" s="183" t="s">
        <v>183</v>
      </c>
      <c r="D300" s="16"/>
      <c r="E300" s="16"/>
      <c r="F300" s="163">
        <f>F301</f>
        <v>1836.335</v>
      </c>
    </row>
    <row r="301" spans="1:6" s="182" customFormat="1" ht="24" x14ac:dyDescent="0.2">
      <c r="A301" s="189" t="s">
        <v>304</v>
      </c>
      <c r="B301" s="183" t="s">
        <v>303</v>
      </c>
      <c r="C301" s="183" t="s">
        <v>183</v>
      </c>
      <c r="D301" s="16" t="s">
        <v>64</v>
      </c>
      <c r="E301" s="16" t="s">
        <v>305</v>
      </c>
      <c r="F301" s="163">
        <v>1836.335</v>
      </c>
    </row>
    <row r="302" spans="1:6" s="182" customFormat="1" ht="24" x14ac:dyDescent="0.2">
      <c r="A302" s="189" t="s">
        <v>41</v>
      </c>
      <c r="B302" s="183" t="s">
        <v>303</v>
      </c>
      <c r="C302" s="183" t="s">
        <v>174</v>
      </c>
      <c r="D302" s="16"/>
      <c r="E302" s="16"/>
      <c r="F302" s="163">
        <f>F303</f>
        <v>96.92</v>
      </c>
    </row>
    <row r="303" spans="1:6" s="182" customFormat="1" ht="24" x14ac:dyDescent="0.2">
      <c r="A303" s="188" t="s">
        <v>175</v>
      </c>
      <c r="B303" s="183" t="s">
        <v>303</v>
      </c>
      <c r="C303" s="183" t="s">
        <v>176</v>
      </c>
      <c r="D303" s="16"/>
      <c r="E303" s="16"/>
      <c r="F303" s="163">
        <f>F304</f>
        <v>96.92</v>
      </c>
    </row>
    <row r="304" spans="1:6" s="182" customFormat="1" ht="24" x14ac:dyDescent="0.2">
      <c r="A304" s="189" t="s">
        <v>304</v>
      </c>
      <c r="B304" s="183" t="s">
        <v>303</v>
      </c>
      <c r="C304" s="183" t="s">
        <v>176</v>
      </c>
      <c r="D304" s="16" t="s">
        <v>64</v>
      </c>
      <c r="E304" s="16" t="s">
        <v>305</v>
      </c>
      <c r="F304" s="163">
        <v>96.92</v>
      </c>
    </row>
    <row r="305" spans="1:6" s="182" customFormat="1" ht="36" x14ac:dyDescent="0.2">
      <c r="A305" s="190" t="s">
        <v>306</v>
      </c>
      <c r="B305" s="16" t="s">
        <v>307</v>
      </c>
      <c r="C305" s="16"/>
      <c r="D305" s="16"/>
      <c r="E305" s="16"/>
      <c r="F305" s="161">
        <f>F307+F310</f>
        <v>10.56</v>
      </c>
    </row>
    <row r="306" spans="1:6" s="182" customFormat="1" ht="60" hidden="1" x14ac:dyDescent="0.2">
      <c r="A306" s="187" t="s">
        <v>180</v>
      </c>
      <c r="B306" s="16" t="s">
        <v>307</v>
      </c>
      <c r="C306" s="16" t="s">
        <v>181</v>
      </c>
      <c r="D306" s="16"/>
      <c r="E306" s="16"/>
      <c r="F306" s="161">
        <f>F307</f>
        <v>0</v>
      </c>
    </row>
    <row r="307" spans="1:6" s="182" customFormat="1" ht="24" hidden="1" x14ac:dyDescent="0.2">
      <c r="A307" s="188" t="s">
        <v>182</v>
      </c>
      <c r="B307" s="16" t="s">
        <v>307</v>
      </c>
      <c r="C307" s="183" t="s">
        <v>183</v>
      </c>
      <c r="D307" s="16"/>
      <c r="E307" s="16"/>
      <c r="F307" s="161">
        <f>F308</f>
        <v>0</v>
      </c>
    </row>
    <row r="308" spans="1:6" s="182" customFormat="1" ht="24" hidden="1" x14ac:dyDescent="0.2">
      <c r="A308" s="189" t="s">
        <v>304</v>
      </c>
      <c r="B308" s="16" t="s">
        <v>307</v>
      </c>
      <c r="C308" s="183" t="s">
        <v>183</v>
      </c>
      <c r="D308" s="16" t="s">
        <v>64</v>
      </c>
      <c r="E308" s="16" t="s">
        <v>305</v>
      </c>
      <c r="F308" s="161">
        <v>0</v>
      </c>
    </row>
    <row r="309" spans="1:6" s="182" customFormat="1" ht="24" x14ac:dyDescent="0.2">
      <c r="A309" s="189" t="s">
        <v>41</v>
      </c>
      <c r="B309" s="16" t="s">
        <v>307</v>
      </c>
      <c r="C309" s="183" t="s">
        <v>174</v>
      </c>
      <c r="D309" s="16"/>
      <c r="E309" s="16"/>
      <c r="F309" s="161">
        <f>F310</f>
        <v>10.56</v>
      </c>
    </row>
    <row r="310" spans="1:6" s="182" customFormat="1" ht="24" x14ac:dyDescent="0.2">
      <c r="A310" s="188" t="s">
        <v>175</v>
      </c>
      <c r="B310" s="16" t="s">
        <v>307</v>
      </c>
      <c r="C310" s="183" t="s">
        <v>176</v>
      </c>
      <c r="D310" s="16"/>
      <c r="E310" s="16"/>
      <c r="F310" s="161">
        <f>F311</f>
        <v>10.56</v>
      </c>
    </row>
    <row r="311" spans="1:6" s="182" customFormat="1" ht="24" x14ac:dyDescent="0.2">
      <c r="A311" s="189" t="s">
        <v>304</v>
      </c>
      <c r="B311" s="16" t="s">
        <v>307</v>
      </c>
      <c r="C311" s="183" t="s">
        <v>176</v>
      </c>
      <c r="D311" s="16" t="s">
        <v>64</v>
      </c>
      <c r="E311" s="16" t="s">
        <v>305</v>
      </c>
      <c r="F311" s="161">
        <v>10.56</v>
      </c>
    </row>
    <row r="312" spans="1:6" s="4" customFormat="1" ht="62.25" customHeight="1" x14ac:dyDescent="0.25">
      <c r="A312" s="26" t="s">
        <v>193</v>
      </c>
      <c r="B312" s="27" t="s">
        <v>194</v>
      </c>
      <c r="C312" s="27"/>
      <c r="D312" s="27"/>
      <c r="E312" s="27"/>
      <c r="F312" s="164">
        <f>SUM(F313)</f>
        <v>2052.3649999999998</v>
      </c>
    </row>
    <row r="313" spans="1:6" s="4" customFormat="1" ht="24.75" customHeight="1" x14ac:dyDescent="0.25">
      <c r="A313" s="31" t="s">
        <v>16</v>
      </c>
      <c r="B313" s="32" t="s">
        <v>195</v>
      </c>
      <c r="C313" s="32"/>
      <c r="D313" s="32"/>
      <c r="E313" s="32"/>
      <c r="F313" s="165">
        <f>SUM(F314)</f>
        <v>2052.3649999999998</v>
      </c>
    </row>
    <row r="314" spans="1:6" s="4" customFormat="1" ht="38.25" x14ac:dyDescent="0.25">
      <c r="A314" s="34" t="s">
        <v>196</v>
      </c>
      <c r="B314" s="16" t="s">
        <v>197</v>
      </c>
      <c r="C314" s="16"/>
      <c r="D314" s="16"/>
      <c r="E314" s="16"/>
      <c r="F314" s="163">
        <f>F315</f>
        <v>2052.3649999999998</v>
      </c>
    </row>
    <row r="315" spans="1:6" s="4" customFormat="1" ht="63.75" x14ac:dyDescent="0.25">
      <c r="A315" s="34" t="s">
        <v>180</v>
      </c>
      <c r="B315" s="16" t="s">
        <v>197</v>
      </c>
      <c r="C315" s="16" t="s">
        <v>181</v>
      </c>
      <c r="D315" s="16"/>
      <c r="E315" s="16"/>
      <c r="F315" s="163">
        <f>F316</f>
        <v>2052.3649999999998</v>
      </c>
    </row>
    <row r="316" spans="1:6" s="4" customFormat="1" ht="25.5" x14ac:dyDescent="0.25">
      <c r="A316" s="36" t="s">
        <v>182</v>
      </c>
      <c r="B316" s="16" t="s">
        <v>197</v>
      </c>
      <c r="C316" s="16" t="s">
        <v>183</v>
      </c>
      <c r="D316" s="16"/>
      <c r="E316" s="16"/>
      <c r="F316" s="163">
        <f>F317</f>
        <v>2052.3649999999998</v>
      </c>
    </row>
    <row r="317" spans="1:6" s="4" customFormat="1" ht="38.25" x14ac:dyDescent="0.25">
      <c r="A317" s="34" t="s">
        <v>184</v>
      </c>
      <c r="B317" s="16" t="s">
        <v>197</v>
      </c>
      <c r="C317" s="16" t="s">
        <v>183</v>
      </c>
      <c r="D317" s="16" t="s">
        <v>40</v>
      </c>
      <c r="E317" s="16" t="s">
        <v>52</v>
      </c>
      <c r="F317" s="163">
        <v>2052.3649999999998</v>
      </c>
    </row>
    <row r="318" spans="1:6" s="4" customFormat="1" ht="31.5" customHeight="1" x14ac:dyDescent="0.25">
      <c r="A318" s="18" t="s">
        <v>198</v>
      </c>
      <c r="B318" s="19" t="s">
        <v>199</v>
      </c>
      <c r="C318" s="19"/>
      <c r="D318" s="16"/>
      <c r="E318" s="16"/>
      <c r="F318" s="158">
        <f>SUM(F319)</f>
        <v>7553.3040000000001</v>
      </c>
    </row>
    <row r="319" spans="1:6" s="4" customFormat="1" ht="27.75" customHeight="1" x14ac:dyDescent="0.25">
      <c r="A319" s="26" t="s">
        <v>16</v>
      </c>
      <c r="B319" s="27" t="s">
        <v>200</v>
      </c>
      <c r="C319" s="27"/>
      <c r="D319" s="27"/>
      <c r="E319" s="27"/>
      <c r="F319" s="159">
        <f>SUM(F320)</f>
        <v>7553.3040000000001</v>
      </c>
    </row>
    <row r="320" spans="1:6" s="4" customFormat="1" ht="25.5" customHeight="1" x14ac:dyDescent="0.25">
      <c r="A320" s="31" t="s">
        <v>16</v>
      </c>
      <c r="B320" s="32" t="s">
        <v>201</v>
      </c>
      <c r="C320" s="32"/>
      <c r="D320" s="32"/>
      <c r="E320" s="32"/>
      <c r="F320" s="160">
        <f>SUM(F321)</f>
        <v>7553.3040000000001</v>
      </c>
    </row>
    <row r="321" spans="1:6" s="4" customFormat="1" ht="23.25" customHeight="1" x14ac:dyDescent="0.25">
      <c r="A321" s="34" t="s">
        <v>202</v>
      </c>
      <c r="B321" s="16" t="s">
        <v>203</v>
      </c>
      <c r="C321" s="16"/>
      <c r="D321" s="16"/>
      <c r="E321" s="16"/>
      <c r="F321" s="161">
        <f>F322+F325+F328</f>
        <v>7553.3040000000001</v>
      </c>
    </row>
    <row r="322" spans="1:6" s="4" customFormat="1" ht="25.5" x14ac:dyDescent="0.25">
      <c r="A322" s="128" t="s">
        <v>41</v>
      </c>
      <c r="B322" s="16" t="s">
        <v>203</v>
      </c>
      <c r="C322" s="16" t="s">
        <v>174</v>
      </c>
      <c r="D322" s="16"/>
      <c r="E322" s="16"/>
      <c r="F322" s="161">
        <f>F323</f>
        <v>4579.7910000000002</v>
      </c>
    </row>
    <row r="323" spans="1:6" s="4" customFormat="1" ht="25.5" x14ac:dyDescent="0.25">
      <c r="A323" s="36" t="s">
        <v>175</v>
      </c>
      <c r="B323" s="16" t="s">
        <v>203</v>
      </c>
      <c r="C323" s="16" t="s">
        <v>176</v>
      </c>
      <c r="D323" s="16"/>
      <c r="E323" s="16"/>
      <c r="F323" s="161">
        <f>F324</f>
        <v>4579.7910000000002</v>
      </c>
    </row>
    <row r="324" spans="1:6" s="4" customFormat="1" ht="21.75" customHeight="1" x14ac:dyDescent="0.25">
      <c r="A324" s="34" t="s">
        <v>204</v>
      </c>
      <c r="B324" s="16" t="s">
        <v>203</v>
      </c>
      <c r="C324" s="16" t="s">
        <v>176</v>
      </c>
      <c r="D324" s="16" t="s">
        <v>40</v>
      </c>
      <c r="E324" s="16" t="s">
        <v>205</v>
      </c>
      <c r="F324" s="161">
        <f>4480.024+124.517-168.116-139-117.634+400</f>
        <v>4579.7910000000002</v>
      </c>
    </row>
    <row r="325" spans="1:6" s="4" customFormat="1" ht="24.75" customHeight="1" x14ac:dyDescent="0.25">
      <c r="A325" s="36" t="s">
        <v>61</v>
      </c>
      <c r="B325" s="16" t="s">
        <v>203</v>
      </c>
      <c r="C325" s="39" t="s">
        <v>233</v>
      </c>
      <c r="D325" s="39"/>
      <c r="E325" s="39"/>
      <c r="F325" s="161">
        <f>F326</f>
        <v>85</v>
      </c>
    </row>
    <row r="326" spans="1:6" s="4" customFormat="1" ht="25.5" x14ac:dyDescent="0.25">
      <c r="A326" s="36" t="s">
        <v>354</v>
      </c>
      <c r="B326" s="16" t="s">
        <v>203</v>
      </c>
      <c r="C326" s="39" t="s">
        <v>353</v>
      </c>
      <c r="D326" s="39"/>
      <c r="E326" s="39"/>
      <c r="F326" s="161">
        <f>F327</f>
        <v>85</v>
      </c>
    </row>
    <row r="327" spans="1:6" s="4" customFormat="1" ht="22.5" customHeight="1" x14ac:dyDescent="0.25">
      <c r="A327" s="34" t="s">
        <v>204</v>
      </c>
      <c r="B327" s="16" t="s">
        <v>203</v>
      </c>
      <c r="C327" s="39" t="s">
        <v>353</v>
      </c>
      <c r="D327" s="39" t="s">
        <v>40</v>
      </c>
      <c r="E327" s="39" t="s">
        <v>205</v>
      </c>
      <c r="F327" s="161">
        <f>75+10</f>
        <v>85</v>
      </c>
    </row>
    <row r="328" spans="1:6" s="4" customFormat="1" ht="21" customHeight="1" x14ac:dyDescent="0.25">
      <c r="A328" s="128" t="s">
        <v>43</v>
      </c>
      <c r="B328" s="16" t="s">
        <v>203</v>
      </c>
      <c r="C328" s="39" t="s">
        <v>185</v>
      </c>
      <c r="D328" s="39"/>
      <c r="E328" s="39"/>
      <c r="F328" s="161">
        <f>F329+F331</f>
        <v>2888.5129999999999</v>
      </c>
    </row>
    <row r="329" spans="1:6" s="4" customFormat="1" ht="20.25" customHeight="1" x14ac:dyDescent="0.25">
      <c r="A329" s="36" t="s">
        <v>334</v>
      </c>
      <c r="B329" s="16" t="s">
        <v>203</v>
      </c>
      <c r="C329" s="39" t="s">
        <v>333</v>
      </c>
      <c r="D329" s="39"/>
      <c r="E329" s="39"/>
      <c r="F329" s="161">
        <f>F330</f>
        <v>2677.5129999999999</v>
      </c>
    </row>
    <row r="330" spans="1:6" s="4" customFormat="1" ht="22.5" customHeight="1" x14ac:dyDescent="0.25">
      <c r="A330" s="34" t="s">
        <v>204</v>
      </c>
      <c r="B330" s="16" t="s">
        <v>203</v>
      </c>
      <c r="C330" s="39" t="s">
        <v>333</v>
      </c>
      <c r="D330" s="39" t="s">
        <v>40</v>
      </c>
      <c r="E330" s="39" t="s">
        <v>205</v>
      </c>
      <c r="F330" s="161">
        <f>1332-124.517+1870.03-400</f>
        <v>2677.5129999999999</v>
      </c>
    </row>
    <row r="331" spans="1:6" s="4" customFormat="1" ht="22.5" customHeight="1" x14ac:dyDescent="0.25">
      <c r="A331" s="36" t="s">
        <v>186</v>
      </c>
      <c r="B331" s="16" t="s">
        <v>203</v>
      </c>
      <c r="C331" s="39" t="s">
        <v>187</v>
      </c>
      <c r="D331" s="39"/>
      <c r="E331" s="39"/>
      <c r="F331" s="161">
        <f>F332</f>
        <v>211</v>
      </c>
    </row>
    <row r="332" spans="1:6" s="4" customFormat="1" ht="23.25" customHeight="1" x14ac:dyDescent="0.25">
      <c r="A332" s="34" t="s">
        <v>204</v>
      </c>
      <c r="B332" s="16" t="s">
        <v>203</v>
      </c>
      <c r="C332" s="39" t="s">
        <v>187</v>
      </c>
      <c r="D332" s="39" t="s">
        <v>40</v>
      </c>
      <c r="E332" s="39" t="s">
        <v>205</v>
      </c>
      <c r="F332" s="161">
        <f>261-50</f>
        <v>211</v>
      </c>
    </row>
    <row r="333" spans="1:6" s="4" customFormat="1" ht="38.25" x14ac:dyDescent="0.25">
      <c r="A333" s="18" t="s">
        <v>206</v>
      </c>
      <c r="B333" s="19" t="s">
        <v>207</v>
      </c>
      <c r="C333" s="19"/>
      <c r="D333" s="19"/>
      <c r="E333" s="19"/>
      <c r="F333" s="158">
        <f>F334</f>
        <v>10979.14</v>
      </c>
    </row>
    <row r="334" spans="1:6" s="4" customFormat="1" ht="15.75" x14ac:dyDescent="0.25">
      <c r="A334" s="26" t="s">
        <v>16</v>
      </c>
      <c r="B334" s="27" t="s">
        <v>208</v>
      </c>
      <c r="C334" s="27"/>
      <c r="D334" s="27"/>
      <c r="E334" s="27"/>
      <c r="F334" s="159">
        <f>F335</f>
        <v>10979.14</v>
      </c>
    </row>
    <row r="335" spans="1:6" s="4" customFormat="1" ht="15.75" x14ac:dyDescent="0.25">
      <c r="A335" s="31" t="s">
        <v>16</v>
      </c>
      <c r="B335" s="32" t="s">
        <v>209</v>
      </c>
      <c r="C335" s="32"/>
      <c r="D335" s="32"/>
      <c r="E335" s="32"/>
      <c r="F335" s="160">
        <f>F336+F348+F355+F359+F363+F367+F374+F382+F386+F398+F421</f>
        <v>10979.14</v>
      </c>
    </row>
    <row r="336" spans="1:6" s="4" customFormat="1" ht="38.25" x14ac:dyDescent="0.25">
      <c r="A336" s="34" t="s">
        <v>210</v>
      </c>
      <c r="B336" s="16" t="s">
        <v>211</v>
      </c>
      <c r="C336" s="16"/>
      <c r="D336" s="16"/>
      <c r="E336" s="16"/>
      <c r="F336" s="161">
        <f>F337</f>
        <v>1000</v>
      </c>
    </row>
    <row r="337" spans="1:6" s="4" customFormat="1" ht="23.25" customHeight="1" x14ac:dyDescent="0.25">
      <c r="A337" s="128" t="s">
        <v>43</v>
      </c>
      <c r="B337" s="16" t="s">
        <v>211</v>
      </c>
      <c r="C337" s="16" t="s">
        <v>185</v>
      </c>
      <c r="D337" s="16"/>
      <c r="E337" s="16"/>
      <c r="F337" s="161">
        <f>F338</f>
        <v>1000</v>
      </c>
    </row>
    <row r="338" spans="1:6" s="4" customFormat="1" ht="21" customHeight="1" x14ac:dyDescent="0.25">
      <c r="A338" s="36" t="s">
        <v>212</v>
      </c>
      <c r="B338" s="16" t="s">
        <v>211</v>
      </c>
      <c r="C338" s="16" t="s">
        <v>213</v>
      </c>
      <c r="D338" s="16"/>
      <c r="E338" s="16"/>
      <c r="F338" s="161">
        <f>F339</f>
        <v>1000</v>
      </c>
    </row>
    <row r="339" spans="1:6" s="4" customFormat="1" ht="24.75" customHeight="1" x14ac:dyDescent="0.25">
      <c r="A339" s="34" t="s">
        <v>214</v>
      </c>
      <c r="B339" s="16" t="s">
        <v>211</v>
      </c>
      <c r="C339" s="16" t="s">
        <v>213</v>
      </c>
      <c r="D339" s="16" t="s">
        <v>40</v>
      </c>
      <c r="E339" s="16" t="s">
        <v>39</v>
      </c>
      <c r="F339" s="161">
        <v>1000</v>
      </c>
    </row>
    <row r="340" spans="1:6" s="4" customFormat="1" ht="25.5" hidden="1" x14ac:dyDescent="0.25">
      <c r="A340" s="43" t="s">
        <v>122</v>
      </c>
      <c r="B340" s="16" t="s">
        <v>344</v>
      </c>
      <c r="C340" s="16"/>
      <c r="D340" s="16"/>
      <c r="E340" s="16"/>
      <c r="F340" s="161">
        <f>F341</f>
        <v>0</v>
      </c>
    </row>
    <row r="341" spans="1:6" s="4" customFormat="1" ht="15.75" hidden="1" x14ac:dyDescent="0.25">
      <c r="A341" s="36" t="s">
        <v>43</v>
      </c>
      <c r="B341" s="16" t="s">
        <v>344</v>
      </c>
      <c r="C341" s="16" t="s">
        <v>185</v>
      </c>
      <c r="D341" s="16"/>
      <c r="E341" s="16"/>
      <c r="F341" s="161">
        <f>F342</f>
        <v>0</v>
      </c>
    </row>
    <row r="342" spans="1:6" s="4" customFormat="1" ht="15.75" hidden="1" x14ac:dyDescent="0.25">
      <c r="A342" s="36" t="s">
        <v>334</v>
      </c>
      <c r="B342" s="16" t="s">
        <v>344</v>
      </c>
      <c r="C342" s="16" t="s">
        <v>333</v>
      </c>
      <c r="D342" s="16"/>
      <c r="E342" s="16"/>
      <c r="F342" s="161">
        <f>F343</f>
        <v>0</v>
      </c>
    </row>
    <row r="343" spans="1:6" s="4" customFormat="1" ht="15.75" hidden="1" x14ac:dyDescent="0.25">
      <c r="A343" s="26" t="s">
        <v>121</v>
      </c>
      <c r="B343" s="16" t="s">
        <v>344</v>
      </c>
      <c r="C343" s="16" t="s">
        <v>333</v>
      </c>
      <c r="D343" s="16" t="s">
        <v>52</v>
      </c>
      <c r="E343" s="16" t="s">
        <v>108</v>
      </c>
      <c r="F343" s="161">
        <v>0</v>
      </c>
    </row>
    <row r="344" spans="1:6" s="4" customFormat="1" ht="25.5" hidden="1" x14ac:dyDescent="0.25">
      <c r="A344" s="34" t="s">
        <v>131</v>
      </c>
      <c r="B344" s="16" t="s">
        <v>447</v>
      </c>
      <c r="C344" s="16"/>
      <c r="D344" s="16"/>
      <c r="E344" s="16"/>
      <c r="F344" s="161">
        <f>F345</f>
        <v>0</v>
      </c>
    </row>
    <row r="345" spans="1:6" s="4" customFormat="1" ht="15.75" hidden="1" x14ac:dyDescent="0.25">
      <c r="A345" s="36" t="s">
        <v>43</v>
      </c>
      <c r="B345" s="16" t="s">
        <v>447</v>
      </c>
      <c r="C345" s="16" t="s">
        <v>185</v>
      </c>
      <c r="D345" s="16"/>
      <c r="E345" s="16"/>
      <c r="F345" s="161">
        <f>F346</f>
        <v>0</v>
      </c>
    </row>
    <row r="346" spans="1:6" s="4" customFormat="1" ht="15.75" hidden="1" x14ac:dyDescent="0.25">
      <c r="A346" s="36" t="s">
        <v>186</v>
      </c>
      <c r="B346" s="16" t="s">
        <v>447</v>
      </c>
      <c r="C346" s="16" t="s">
        <v>187</v>
      </c>
      <c r="D346" s="16"/>
      <c r="E346" s="16"/>
      <c r="F346" s="161">
        <f>F347</f>
        <v>0</v>
      </c>
    </row>
    <row r="347" spans="1:6" s="4" customFormat="1" ht="12" hidden="1" customHeight="1" x14ac:dyDescent="0.25">
      <c r="A347" s="26" t="s">
        <v>121</v>
      </c>
      <c r="B347" s="16" t="s">
        <v>447</v>
      </c>
      <c r="C347" s="16" t="s">
        <v>187</v>
      </c>
      <c r="D347" s="16" t="s">
        <v>52</v>
      </c>
      <c r="E347" s="16" t="s">
        <v>108</v>
      </c>
      <c r="F347" s="161">
        <v>0</v>
      </c>
    </row>
    <row r="348" spans="1:6" s="4" customFormat="1" ht="25.5" x14ac:dyDescent="0.25">
      <c r="A348" s="34" t="s">
        <v>215</v>
      </c>
      <c r="B348" s="16" t="s">
        <v>216</v>
      </c>
      <c r="C348" s="16"/>
      <c r="D348" s="16"/>
      <c r="E348" s="16"/>
      <c r="F348" s="161">
        <f>F349+F352</f>
        <v>1486.7</v>
      </c>
    </row>
    <row r="349" spans="1:6" s="4" customFormat="1" ht="63.75" x14ac:dyDescent="0.25">
      <c r="A349" s="34" t="s">
        <v>180</v>
      </c>
      <c r="B349" s="16" t="s">
        <v>216</v>
      </c>
      <c r="C349" s="16" t="s">
        <v>181</v>
      </c>
      <c r="D349" s="16"/>
      <c r="E349" s="16"/>
      <c r="F349" s="161">
        <f>F350</f>
        <v>1418.8</v>
      </c>
    </row>
    <row r="350" spans="1:6" s="4" customFormat="1" ht="25.5" x14ac:dyDescent="0.25">
      <c r="A350" s="36" t="s">
        <v>182</v>
      </c>
      <c r="B350" s="16" t="s">
        <v>216</v>
      </c>
      <c r="C350" s="16" t="s">
        <v>183</v>
      </c>
      <c r="D350" s="16"/>
      <c r="E350" s="16"/>
      <c r="F350" s="161">
        <f>F351</f>
        <v>1418.8</v>
      </c>
    </row>
    <row r="351" spans="1:6" s="4" customFormat="1" ht="15.75" x14ac:dyDescent="0.25">
      <c r="A351" s="34" t="s">
        <v>217</v>
      </c>
      <c r="B351" s="16" t="s">
        <v>216</v>
      </c>
      <c r="C351" s="16" t="s">
        <v>183</v>
      </c>
      <c r="D351" s="16" t="s">
        <v>143</v>
      </c>
      <c r="E351" s="16" t="s">
        <v>64</v>
      </c>
      <c r="F351" s="161">
        <f>1290.1+128.7</f>
        <v>1418.8</v>
      </c>
    </row>
    <row r="352" spans="1:6" s="4" customFormat="1" ht="25.5" x14ac:dyDescent="0.25">
      <c r="A352" s="128" t="s">
        <v>41</v>
      </c>
      <c r="B352" s="16" t="s">
        <v>216</v>
      </c>
      <c r="C352" s="16" t="s">
        <v>174</v>
      </c>
      <c r="D352" s="16"/>
      <c r="E352" s="16"/>
      <c r="F352" s="161">
        <f>F353</f>
        <v>67.900000000000006</v>
      </c>
    </row>
    <row r="353" spans="1:6" s="4" customFormat="1" ht="30.75" customHeight="1" x14ac:dyDescent="0.25">
      <c r="A353" s="36" t="s">
        <v>175</v>
      </c>
      <c r="B353" s="16" t="s">
        <v>216</v>
      </c>
      <c r="C353" s="16" t="s">
        <v>176</v>
      </c>
      <c r="D353" s="16"/>
      <c r="E353" s="16"/>
      <c r="F353" s="161">
        <f>F354</f>
        <v>67.900000000000006</v>
      </c>
    </row>
    <row r="354" spans="1:6" s="4" customFormat="1" ht="24.75" customHeight="1" x14ac:dyDescent="0.25">
      <c r="A354" s="34" t="s">
        <v>217</v>
      </c>
      <c r="B354" s="16" t="s">
        <v>216</v>
      </c>
      <c r="C354" s="16" t="s">
        <v>176</v>
      </c>
      <c r="D354" s="16" t="s">
        <v>143</v>
      </c>
      <c r="E354" s="16" t="s">
        <v>64</v>
      </c>
      <c r="F354" s="161">
        <v>67.900000000000006</v>
      </c>
    </row>
    <row r="355" spans="1:6" s="4" customFormat="1" ht="26.25" customHeight="1" x14ac:dyDescent="0.25">
      <c r="A355" s="34" t="s">
        <v>218</v>
      </c>
      <c r="B355" s="16" t="s">
        <v>219</v>
      </c>
      <c r="C355" s="16"/>
      <c r="D355" s="16"/>
      <c r="E355" s="16"/>
      <c r="F355" s="161">
        <f>F357</f>
        <v>299</v>
      </c>
    </row>
    <row r="356" spans="1:6" s="4" customFormat="1" ht="25.5" x14ac:dyDescent="0.25">
      <c r="A356" s="128" t="s">
        <v>41</v>
      </c>
      <c r="B356" s="16" t="s">
        <v>219</v>
      </c>
      <c r="C356" s="16" t="s">
        <v>174</v>
      </c>
      <c r="D356" s="16"/>
      <c r="E356" s="16"/>
      <c r="F356" s="161">
        <f>F357</f>
        <v>299</v>
      </c>
    </row>
    <row r="357" spans="1:6" s="4" customFormat="1" ht="25.5" x14ac:dyDescent="0.25">
      <c r="A357" s="36" t="s">
        <v>175</v>
      </c>
      <c r="B357" s="16" t="s">
        <v>219</v>
      </c>
      <c r="C357" s="16" t="s">
        <v>176</v>
      </c>
      <c r="D357" s="16"/>
      <c r="E357" s="16"/>
      <c r="F357" s="161">
        <f>F358</f>
        <v>299</v>
      </c>
    </row>
    <row r="358" spans="1:6" s="4" customFormat="1" ht="21.75" customHeight="1" x14ac:dyDescent="0.25">
      <c r="A358" s="34" t="s">
        <v>51</v>
      </c>
      <c r="B358" s="16" t="s">
        <v>219</v>
      </c>
      <c r="C358" s="16" t="s">
        <v>176</v>
      </c>
      <c r="D358" s="16" t="s">
        <v>52</v>
      </c>
      <c r="E358" s="16" t="s">
        <v>53</v>
      </c>
      <c r="F358" s="161">
        <f>800-400-101</f>
        <v>299</v>
      </c>
    </row>
    <row r="359" spans="1:6" s="4" customFormat="1" ht="21.75" customHeight="1" x14ac:dyDescent="0.25">
      <c r="A359" s="34" t="s">
        <v>220</v>
      </c>
      <c r="B359" s="16" t="s">
        <v>221</v>
      </c>
      <c r="C359" s="16"/>
      <c r="D359" s="16"/>
      <c r="E359" s="16"/>
      <c r="F359" s="161">
        <f>F360</f>
        <v>411.4</v>
      </c>
    </row>
    <row r="360" spans="1:6" s="4" customFormat="1" ht="25.5" x14ac:dyDescent="0.25">
      <c r="A360" s="128" t="s">
        <v>41</v>
      </c>
      <c r="B360" s="16" t="s">
        <v>221</v>
      </c>
      <c r="C360" s="16" t="s">
        <v>174</v>
      </c>
      <c r="D360" s="16"/>
      <c r="E360" s="16"/>
      <c r="F360" s="161">
        <f>F361</f>
        <v>411.4</v>
      </c>
    </row>
    <row r="361" spans="1:6" s="4" customFormat="1" ht="25.5" x14ac:dyDescent="0.25">
      <c r="A361" s="36" t="s">
        <v>175</v>
      </c>
      <c r="B361" s="16" t="s">
        <v>221</v>
      </c>
      <c r="C361" s="16" t="s">
        <v>176</v>
      </c>
      <c r="D361" s="16"/>
      <c r="E361" s="16"/>
      <c r="F361" s="161">
        <f>F362</f>
        <v>411.4</v>
      </c>
    </row>
    <row r="362" spans="1:6" s="4" customFormat="1" ht="22.5" customHeight="1" x14ac:dyDescent="0.25">
      <c r="A362" s="34" t="s">
        <v>51</v>
      </c>
      <c r="B362" s="16" t="s">
        <v>221</v>
      </c>
      <c r="C362" s="16" t="s">
        <v>176</v>
      </c>
      <c r="D362" s="16" t="s">
        <v>52</v>
      </c>
      <c r="E362" s="16" t="s">
        <v>53</v>
      </c>
      <c r="F362" s="161">
        <f>398.4+13</f>
        <v>411.4</v>
      </c>
    </row>
    <row r="363" spans="1:6" s="4" customFormat="1" ht="63.75" x14ac:dyDescent="0.25">
      <c r="A363" s="34" t="s">
        <v>355</v>
      </c>
      <c r="B363" s="16" t="s">
        <v>433</v>
      </c>
      <c r="C363" s="16"/>
      <c r="D363" s="16"/>
      <c r="E363" s="16"/>
      <c r="F363" s="161">
        <f>F364</f>
        <v>224.946</v>
      </c>
    </row>
    <row r="364" spans="1:6" s="4" customFormat="1" ht="23.25" customHeight="1" x14ac:dyDescent="0.25">
      <c r="A364" s="36" t="s">
        <v>247</v>
      </c>
      <c r="B364" s="16" t="s">
        <v>433</v>
      </c>
      <c r="C364" s="16" t="s">
        <v>189</v>
      </c>
      <c r="D364" s="16"/>
      <c r="E364" s="16"/>
      <c r="F364" s="161">
        <f>F365</f>
        <v>224.946</v>
      </c>
    </row>
    <row r="365" spans="1:6" s="4" customFormat="1" ht="20.25" customHeight="1" x14ac:dyDescent="0.25">
      <c r="A365" s="36" t="s">
        <v>190</v>
      </c>
      <c r="B365" s="16" t="s">
        <v>433</v>
      </c>
      <c r="C365" s="16" t="s">
        <v>5</v>
      </c>
      <c r="D365" s="16"/>
      <c r="E365" s="16"/>
      <c r="F365" s="161">
        <f>F366</f>
        <v>224.946</v>
      </c>
    </row>
    <row r="366" spans="1:6" s="4" customFormat="1" ht="15.75" x14ac:dyDescent="0.25">
      <c r="A366" s="34" t="s">
        <v>51</v>
      </c>
      <c r="B366" s="16" t="s">
        <v>433</v>
      </c>
      <c r="C366" s="16" t="s">
        <v>5</v>
      </c>
      <c r="D366" s="16" t="s">
        <v>52</v>
      </c>
      <c r="E366" s="16" t="s">
        <v>53</v>
      </c>
      <c r="F366" s="161">
        <f>205.531+19.415</f>
        <v>224.946</v>
      </c>
    </row>
    <row r="367" spans="1:6" s="4" customFormat="1" ht="25.5" x14ac:dyDescent="0.25">
      <c r="A367" s="34" t="s">
        <v>222</v>
      </c>
      <c r="B367" s="16" t="s">
        <v>223</v>
      </c>
      <c r="C367" s="16"/>
      <c r="D367" s="16"/>
      <c r="E367" s="16"/>
      <c r="F367" s="161">
        <f>F369</f>
        <v>979.30399999999997</v>
      </c>
    </row>
    <row r="368" spans="1:6" s="4" customFormat="1" ht="25.5" x14ac:dyDescent="0.25">
      <c r="A368" s="128" t="s">
        <v>41</v>
      </c>
      <c r="B368" s="16" t="s">
        <v>223</v>
      </c>
      <c r="C368" s="16" t="s">
        <v>174</v>
      </c>
      <c r="D368" s="16"/>
      <c r="E368" s="16"/>
      <c r="F368" s="161">
        <f>F369</f>
        <v>979.30399999999997</v>
      </c>
    </row>
    <row r="369" spans="1:7" s="4" customFormat="1" ht="25.5" x14ac:dyDescent="0.25">
      <c r="A369" s="36" t="s">
        <v>175</v>
      </c>
      <c r="B369" s="16" t="s">
        <v>223</v>
      </c>
      <c r="C369" s="16" t="s">
        <v>176</v>
      </c>
      <c r="D369" s="16"/>
      <c r="E369" s="16"/>
      <c r="F369" s="161">
        <f>F370</f>
        <v>979.30399999999997</v>
      </c>
    </row>
    <row r="370" spans="1:7" s="4" customFormat="1" ht="25.9" customHeight="1" x14ac:dyDescent="0.25">
      <c r="A370" s="34" t="s">
        <v>51</v>
      </c>
      <c r="B370" s="16" t="s">
        <v>223</v>
      </c>
      <c r="C370" s="16" t="s">
        <v>176</v>
      </c>
      <c r="D370" s="16" t="s">
        <v>52</v>
      </c>
      <c r="E370" s="16" t="s">
        <v>53</v>
      </c>
      <c r="F370" s="161">
        <f>2100-350-900+101+28.304</f>
        <v>979.30399999999997</v>
      </c>
      <c r="G370" s="5"/>
    </row>
    <row r="371" spans="1:7" s="4" customFormat="1" ht="15.75" hidden="1" x14ac:dyDescent="0.25">
      <c r="A371" s="128" t="s">
        <v>43</v>
      </c>
      <c r="B371" s="16" t="s">
        <v>294</v>
      </c>
      <c r="C371" s="110">
        <v>800</v>
      </c>
      <c r="D371" s="129"/>
      <c r="E371" s="129"/>
      <c r="F371" s="130">
        <f>F372</f>
        <v>0</v>
      </c>
    </row>
    <row r="372" spans="1:7" s="4" customFormat="1" ht="15.75" hidden="1" x14ac:dyDescent="0.25">
      <c r="A372" s="36" t="s">
        <v>44</v>
      </c>
      <c r="B372" s="16" t="s">
        <v>294</v>
      </c>
      <c r="C372" s="110">
        <v>850</v>
      </c>
      <c r="D372" s="129"/>
      <c r="E372" s="129"/>
      <c r="F372" s="130">
        <f>F373</f>
        <v>0</v>
      </c>
      <c r="G372" s="5"/>
    </row>
    <row r="373" spans="1:7" s="4" customFormat="1" ht="15.75" hidden="1" x14ac:dyDescent="0.25">
      <c r="A373" s="128" t="s">
        <v>152</v>
      </c>
      <c r="B373" s="16" t="s">
        <v>294</v>
      </c>
      <c r="C373" s="110">
        <v>850</v>
      </c>
      <c r="D373" s="129" t="s">
        <v>142</v>
      </c>
      <c r="E373" s="129" t="s">
        <v>64</v>
      </c>
      <c r="F373" s="130">
        <v>0</v>
      </c>
    </row>
    <row r="374" spans="1:7" s="4" customFormat="1" ht="25.5" x14ac:dyDescent="0.25">
      <c r="A374" s="34" t="s">
        <v>224</v>
      </c>
      <c r="B374" s="16" t="s">
        <v>225</v>
      </c>
      <c r="C374" s="16"/>
      <c r="D374" s="16"/>
      <c r="E374" s="16"/>
      <c r="F374" s="161">
        <f>F376</f>
        <v>4319.7</v>
      </c>
    </row>
    <row r="375" spans="1:7" s="4" customFormat="1" ht="25.5" x14ac:dyDescent="0.25">
      <c r="A375" s="128" t="s">
        <v>41</v>
      </c>
      <c r="B375" s="16" t="s">
        <v>225</v>
      </c>
      <c r="C375" s="16" t="s">
        <v>174</v>
      </c>
      <c r="D375" s="16"/>
      <c r="E375" s="16"/>
      <c r="F375" s="161">
        <f>F376</f>
        <v>4319.7</v>
      </c>
    </row>
    <row r="376" spans="1:7" s="4" customFormat="1" ht="25.5" x14ac:dyDescent="0.25">
      <c r="A376" s="36" t="s">
        <v>175</v>
      </c>
      <c r="B376" s="16" t="s">
        <v>225</v>
      </c>
      <c r="C376" s="16" t="s">
        <v>176</v>
      </c>
      <c r="D376" s="16"/>
      <c r="E376" s="16"/>
      <c r="F376" s="161">
        <f>F377</f>
        <v>4319.7</v>
      </c>
    </row>
    <row r="377" spans="1:7" s="4" customFormat="1" ht="23.25" customHeight="1" x14ac:dyDescent="0.25">
      <c r="A377" s="34" t="s">
        <v>226</v>
      </c>
      <c r="B377" s="16" t="s">
        <v>225</v>
      </c>
      <c r="C377" s="16" t="s">
        <v>176</v>
      </c>
      <c r="D377" s="16" t="s">
        <v>142</v>
      </c>
      <c r="E377" s="16" t="s">
        <v>40</v>
      </c>
      <c r="F377" s="161">
        <f>4300-0.3+560.3-0.3-540</f>
        <v>4319.7</v>
      </c>
    </row>
    <row r="378" spans="1:7" s="4" customFormat="1" ht="33.950000000000003" hidden="1" customHeight="1" x14ac:dyDescent="0.25">
      <c r="A378" s="34" t="s">
        <v>256</v>
      </c>
      <c r="B378" s="16" t="s">
        <v>342</v>
      </c>
      <c r="C378" s="16"/>
      <c r="D378" s="16"/>
      <c r="E378" s="16"/>
      <c r="F378" s="161">
        <v>0</v>
      </c>
    </row>
    <row r="379" spans="1:7" s="4" customFormat="1" ht="15.75" hidden="1" x14ac:dyDescent="0.25">
      <c r="A379" s="36" t="s">
        <v>43</v>
      </c>
      <c r="B379" s="16" t="s">
        <v>342</v>
      </c>
      <c r="C379" s="16" t="s">
        <v>185</v>
      </c>
      <c r="D379" s="16"/>
      <c r="E379" s="16"/>
      <c r="F379" s="161">
        <v>0</v>
      </c>
    </row>
    <row r="380" spans="1:7" s="4" customFormat="1" ht="15.75" hidden="1" x14ac:dyDescent="0.25">
      <c r="A380" s="36" t="s">
        <v>186</v>
      </c>
      <c r="B380" s="16" t="s">
        <v>342</v>
      </c>
      <c r="C380" s="16" t="s">
        <v>187</v>
      </c>
      <c r="D380" s="16"/>
      <c r="E380" s="16"/>
      <c r="F380" s="161">
        <v>0</v>
      </c>
    </row>
    <row r="381" spans="1:7" s="4" customFormat="1" ht="36.75" hidden="1" customHeight="1" x14ac:dyDescent="0.25">
      <c r="A381" s="34" t="s">
        <v>107</v>
      </c>
      <c r="B381" s="16" t="s">
        <v>342</v>
      </c>
      <c r="C381" s="16" t="s">
        <v>187</v>
      </c>
      <c r="D381" s="16" t="s">
        <v>64</v>
      </c>
      <c r="E381" s="16" t="s">
        <v>108</v>
      </c>
      <c r="F381" s="161">
        <v>0</v>
      </c>
    </row>
    <row r="382" spans="1:7" s="4" customFormat="1" ht="25.5" customHeight="1" x14ac:dyDescent="0.25">
      <c r="A382" s="34" t="s">
        <v>227</v>
      </c>
      <c r="B382" s="16" t="s">
        <v>228</v>
      </c>
      <c r="C382" s="16"/>
      <c r="D382" s="16"/>
      <c r="E382" s="16"/>
      <c r="F382" s="161">
        <f>F384</f>
        <v>850</v>
      </c>
    </row>
    <row r="383" spans="1:7" s="4" customFormat="1" ht="25.5" x14ac:dyDescent="0.25">
      <c r="A383" s="128" t="s">
        <v>41</v>
      </c>
      <c r="B383" s="16" t="s">
        <v>228</v>
      </c>
      <c r="C383" s="16" t="s">
        <v>174</v>
      </c>
      <c r="D383" s="16"/>
      <c r="E383" s="16"/>
      <c r="F383" s="161">
        <f>F384</f>
        <v>850</v>
      </c>
    </row>
    <row r="384" spans="1:7" s="4" customFormat="1" ht="25.5" x14ac:dyDescent="0.25">
      <c r="A384" s="36" t="s">
        <v>175</v>
      </c>
      <c r="B384" s="16" t="s">
        <v>228</v>
      </c>
      <c r="C384" s="16" t="s">
        <v>176</v>
      </c>
      <c r="D384" s="16"/>
      <c r="E384" s="16"/>
      <c r="F384" s="161">
        <f>F385</f>
        <v>850</v>
      </c>
      <c r="G384" s="5"/>
    </row>
    <row r="385" spans="1:7" s="4" customFormat="1" ht="23.25" customHeight="1" x14ac:dyDescent="0.25">
      <c r="A385" s="34" t="s">
        <v>226</v>
      </c>
      <c r="B385" s="16" t="s">
        <v>228</v>
      </c>
      <c r="C385" s="16" t="s">
        <v>176</v>
      </c>
      <c r="D385" s="16" t="s">
        <v>142</v>
      </c>
      <c r="E385" s="16" t="s">
        <v>40</v>
      </c>
      <c r="F385" s="161">
        <f>650+3950-3750</f>
        <v>850</v>
      </c>
    </row>
    <row r="386" spans="1:7" s="4" customFormat="1" ht="38.25" x14ac:dyDescent="0.25">
      <c r="A386" s="138" t="s">
        <v>229</v>
      </c>
      <c r="B386" s="16" t="s">
        <v>230</v>
      </c>
      <c r="C386" s="16"/>
      <c r="D386" s="16"/>
      <c r="E386" s="16"/>
      <c r="F386" s="161">
        <f>F388</f>
        <v>38.822000000000003</v>
      </c>
    </row>
    <row r="387" spans="1:7" s="4" customFormat="1" ht="25.5" x14ac:dyDescent="0.25">
      <c r="A387" s="128" t="s">
        <v>41</v>
      </c>
      <c r="B387" s="16" t="s">
        <v>230</v>
      </c>
      <c r="C387" s="16" t="s">
        <v>174</v>
      </c>
      <c r="D387" s="16"/>
      <c r="E387" s="16"/>
      <c r="F387" s="161">
        <f>F388</f>
        <v>38.822000000000003</v>
      </c>
    </row>
    <row r="388" spans="1:7" s="4" customFormat="1" ht="32.25" customHeight="1" x14ac:dyDescent="0.25">
      <c r="A388" s="36" t="s">
        <v>175</v>
      </c>
      <c r="B388" s="16" t="s">
        <v>230</v>
      </c>
      <c r="C388" s="16" t="s">
        <v>176</v>
      </c>
      <c r="D388" s="16"/>
      <c r="E388" s="16"/>
      <c r="F388" s="161">
        <f>F389</f>
        <v>38.822000000000003</v>
      </c>
    </row>
    <row r="389" spans="1:7" s="4" customFormat="1" ht="20.25" customHeight="1" x14ac:dyDescent="0.25">
      <c r="A389" s="138" t="s">
        <v>141</v>
      </c>
      <c r="B389" s="16" t="s">
        <v>230</v>
      </c>
      <c r="C389" s="16" t="s">
        <v>176</v>
      </c>
      <c r="D389" s="16" t="s">
        <v>142</v>
      </c>
      <c r="E389" s="16" t="s">
        <v>143</v>
      </c>
      <c r="F389" s="161">
        <f>222-183.178</f>
        <v>38.822000000000003</v>
      </c>
    </row>
    <row r="390" spans="1:7" s="4" customFormat="1" ht="25.5" hidden="1" x14ac:dyDescent="0.25">
      <c r="A390" s="34" t="s">
        <v>322</v>
      </c>
      <c r="B390" s="16" t="s">
        <v>299</v>
      </c>
      <c r="C390" s="16"/>
      <c r="D390" s="16"/>
      <c r="E390" s="16"/>
      <c r="F390" s="161">
        <f>F392</f>
        <v>0</v>
      </c>
    </row>
    <row r="391" spans="1:7" s="4" customFormat="1" ht="15.75" hidden="1" x14ac:dyDescent="0.25">
      <c r="A391" s="128" t="s">
        <v>2</v>
      </c>
      <c r="B391" s="16" t="s">
        <v>299</v>
      </c>
      <c r="C391" s="16" t="s">
        <v>185</v>
      </c>
      <c r="D391" s="16"/>
      <c r="E391" s="16"/>
      <c r="F391" s="161">
        <f>F392</f>
        <v>0</v>
      </c>
    </row>
    <row r="392" spans="1:7" s="4" customFormat="1" ht="15.75" hidden="1" x14ac:dyDescent="0.25">
      <c r="A392" s="36" t="s">
        <v>319</v>
      </c>
      <c r="B392" s="16" t="s">
        <v>299</v>
      </c>
      <c r="C392" s="16" t="s">
        <v>318</v>
      </c>
      <c r="D392" s="16"/>
      <c r="E392" s="16"/>
      <c r="F392" s="161">
        <f>F393</f>
        <v>0</v>
      </c>
    </row>
    <row r="393" spans="1:7" s="4" customFormat="1" ht="15.75" hidden="1" x14ac:dyDescent="0.25">
      <c r="A393" s="34" t="s">
        <v>243</v>
      </c>
      <c r="B393" s="16" t="s">
        <v>299</v>
      </c>
      <c r="C393" s="16" t="s">
        <v>318</v>
      </c>
      <c r="D393" s="16" t="s">
        <v>40</v>
      </c>
      <c r="E393" s="16" t="s">
        <v>80</v>
      </c>
      <c r="F393" s="161">
        <v>0</v>
      </c>
    </row>
    <row r="394" spans="1:7" customFormat="1" ht="25.5" hidden="1" x14ac:dyDescent="0.2">
      <c r="A394" s="166" t="s">
        <v>240</v>
      </c>
      <c r="B394" s="77" t="s">
        <v>241</v>
      </c>
      <c r="C394" s="77"/>
      <c r="D394" s="167"/>
      <c r="E394" s="167"/>
      <c r="F394" s="181">
        <f>F395</f>
        <v>0</v>
      </c>
      <c r="G394" s="8"/>
    </row>
    <row r="395" spans="1:7" customFormat="1" ht="25.5" hidden="1" x14ac:dyDescent="0.2">
      <c r="A395" s="128" t="s">
        <v>41</v>
      </c>
      <c r="B395" s="77" t="s">
        <v>241</v>
      </c>
      <c r="C395" s="77">
        <v>200</v>
      </c>
      <c r="D395" s="167"/>
      <c r="E395" s="167"/>
      <c r="F395" s="181">
        <f>F396</f>
        <v>0</v>
      </c>
      <c r="G395" s="8"/>
    </row>
    <row r="396" spans="1:7" customFormat="1" ht="25.5" hidden="1" x14ac:dyDescent="0.2">
      <c r="A396" s="36" t="s">
        <v>175</v>
      </c>
      <c r="B396" s="77" t="s">
        <v>241</v>
      </c>
      <c r="C396" s="77">
        <v>240</v>
      </c>
      <c r="D396" s="167"/>
      <c r="E396" s="167"/>
      <c r="F396" s="181">
        <f>F397</f>
        <v>0</v>
      </c>
      <c r="G396" s="8"/>
    </row>
    <row r="397" spans="1:7" customFormat="1" ht="21.75" hidden="1" customHeight="1" x14ac:dyDescent="0.2">
      <c r="A397" s="166" t="s">
        <v>90</v>
      </c>
      <c r="B397" s="77" t="s">
        <v>241</v>
      </c>
      <c r="C397" s="77">
        <v>240</v>
      </c>
      <c r="D397" s="167" t="s">
        <v>91</v>
      </c>
      <c r="E397" s="167" t="s">
        <v>40</v>
      </c>
      <c r="F397" s="181">
        <v>0</v>
      </c>
      <c r="G397" s="8"/>
    </row>
    <row r="398" spans="1:7" s="4" customFormat="1" ht="22.5" customHeight="1" x14ac:dyDescent="0.25">
      <c r="A398" s="34" t="s">
        <v>231</v>
      </c>
      <c r="B398" s="16" t="s">
        <v>232</v>
      </c>
      <c r="C398" s="16"/>
      <c r="D398" s="16"/>
      <c r="E398" s="16"/>
      <c r="F398" s="161">
        <f>F400</f>
        <v>1227.268</v>
      </c>
    </row>
    <row r="399" spans="1:7" s="4" customFormat="1" ht="24.75" customHeight="1" x14ac:dyDescent="0.25">
      <c r="A399" s="34" t="s">
        <v>61</v>
      </c>
      <c r="B399" s="16" t="s">
        <v>232</v>
      </c>
      <c r="C399" s="16" t="s">
        <v>233</v>
      </c>
      <c r="D399" s="16"/>
      <c r="E399" s="16"/>
      <c r="F399" s="161">
        <f>F400</f>
        <v>1227.268</v>
      </c>
    </row>
    <row r="400" spans="1:7" s="4" customFormat="1" ht="26.25" x14ac:dyDescent="0.25">
      <c r="A400" s="168" t="s">
        <v>62</v>
      </c>
      <c r="B400" s="16" t="s">
        <v>232</v>
      </c>
      <c r="C400" s="16" t="s">
        <v>234</v>
      </c>
      <c r="D400" s="16"/>
      <c r="E400" s="16"/>
      <c r="F400" s="161">
        <f>F401</f>
        <v>1227.268</v>
      </c>
    </row>
    <row r="401" spans="1:6" s="4" customFormat="1" ht="21" customHeight="1" x14ac:dyDescent="0.25">
      <c r="A401" s="43" t="s">
        <v>235</v>
      </c>
      <c r="B401" s="16" t="s">
        <v>232</v>
      </c>
      <c r="C401" s="16" t="s">
        <v>234</v>
      </c>
      <c r="D401" s="16" t="s">
        <v>236</v>
      </c>
      <c r="E401" s="16" t="s">
        <v>40</v>
      </c>
      <c r="F401" s="161">
        <v>1227.268</v>
      </c>
    </row>
    <row r="402" spans="1:6" s="4" customFormat="1" ht="51" hidden="1" x14ac:dyDescent="0.25">
      <c r="A402" s="166" t="s">
        <v>237</v>
      </c>
      <c r="B402" s="77" t="s">
        <v>238</v>
      </c>
      <c r="C402" s="77"/>
      <c r="D402" s="167"/>
      <c r="E402" s="167"/>
      <c r="F402" s="181">
        <f>F404</f>
        <v>0</v>
      </c>
    </row>
    <row r="403" spans="1:6" s="4" customFormat="1" ht="25.5" hidden="1" x14ac:dyDescent="0.25">
      <c r="A403" s="128" t="s">
        <v>41</v>
      </c>
      <c r="B403" s="77" t="s">
        <v>238</v>
      </c>
      <c r="C403" s="77">
        <v>200</v>
      </c>
      <c r="D403" s="167"/>
      <c r="E403" s="167"/>
      <c r="F403" s="181">
        <f>F404</f>
        <v>0</v>
      </c>
    </row>
    <row r="404" spans="1:6" s="4" customFormat="1" ht="25.5" hidden="1" x14ac:dyDescent="0.25">
      <c r="A404" s="36" t="s">
        <v>175</v>
      </c>
      <c r="B404" s="77" t="s">
        <v>238</v>
      </c>
      <c r="C404" s="77">
        <v>240</v>
      </c>
      <c r="D404" s="167"/>
      <c r="E404" s="167"/>
      <c r="F404" s="181">
        <f>F405</f>
        <v>0</v>
      </c>
    </row>
    <row r="405" spans="1:6" s="4" customFormat="1" ht="18" hidden="1" customHeight="1" x14ac:dyDescent="0.25">
      <c r="A405" s="166" t="s">
        <v>239</v>
      </c>
      <c r="B405" s="77" t="s">
        <v>238</v>
      </c>
      <c r="C405" s="77">
        <v>240</v>
      </c>
      <c r="D405" s="167" t="s">
        <v>53</v>
      </c>
      <c r="E405" s="167" t="s">
        <v>143</v>
      </c>
      <c r="F405" s="181">
        <v>0</v>
      </c>
    </row>
    <row r="406" spans="1:6" s="4" customFormat="1" ht="0.75" hidden="1" customHeight="1" x14ac:dyDescent="0.25">
      <c r="A406" s="166" t="s">
        <v>336</v>
      </c>
      <c r="B406" s="16" t="s">
        <v>335</v>
      </c>
      <c r="C406" s="77"/>
      <c r="D406" s="167"/>
      <c r="E406" s="167"/>
      <c r="F406" s="181">
        <f>F408</f>
        <v>0</v>
      </c>
    </row>
    <row r="407" spans="1:6" s="4" customFormat="1" ht="25.9" hidden="1" customHeight="1" x14ac:dyDescent="0.25">
      <c r="A407" s="36" t="s">
        <v>245</v>
      </c>
      <c r="B407" s="16" t="s">
        <v>335</v>
      </c>
      <c r="C407" s="77">
        <v>100</v>
      </c>
      <c r="D407" s="167"/>
      <c r="E407" s="167"/>
      <c r="F407" s="181">
        <f>F408</f>
        <v>0</v>
      </c>
    </row>
    <row r="408" spans="1:6" ht="24.4" hidden="1" customHeight="1" x14ac:dyDescent="0.2">
      <c r="A408" s="36" t="s">
        <v>182</v>
      </c>
      <c r="B408" s="16" t="s">
        <v>335</v>
      </c>
      <c r="C408" s="77">
        <v>120</v>
      </c>
      <c r="D408" s="167"/>
      <c r="E408" s="167"/>
      <c r="F408" s="181">
        <f>F409</f>
        <v>0</v>
      </c>
    </row>
    <row r="409" spans="1:6" ht="22.5" hidden="1" customHeight="1" x14ac:dyDescent="0.2">
      <c r="A409" s="166" t="s">
        <v>204</v>
      </c>
      <c r="B409" s="16" t="s">
        <v>335</v>
      </c>
      <c r="C409" s="77">
        <v>120</v>
      </c>
      <c r="D409" s="167" t="s">
        <v>40</v>
      </c>
      <c r="E409" s="167" t="s">
        <v>205</v>
      </c>
      <c r="F409" s="181">
        <v>0</v>
      </c>
    </row>
    <row r="410" spans="1:6" ht="25.5" hidden="1" x14ac:dyDescent="0.2">
      <c r="A410" s="166" t="s">
        <v>240</v>
      </c>
      <c r="B410" s="16" t="s">
        <v>241</v>
      </c>
      <c r="C410" s="77"/>
      <c r="D410" s="167"/>
      <c r="E410" s="167"/>
      <c r="F410" s="181">
        <f>F412</f>
        <v>0</v>
      </c>
    </row>
    <row r="411" spans="1:6" ht="25.5" hidden="1" x14ac:dyDescent="0.2">
      <c r="A411" s="128" t="s">
        <v>41</v>
      </c>
      <c r="B411" s="16" t="s">
        <v>241</v>
      </c>
      <c r="C411" s="77">
        <v>240</v>
      </c>
      <c r="D411" s="167"/>
      <c r="E411" s="167"/>
      <c r="F411" s="181">
        <f>F412</f>
        <v>0</v>
      </c>
    </row>
    <row r="412" spans="1:6" ht="25.5" hidden="1" x14ac:dyDescent="0.2">
      <c r="A412" s="36" t="s">
        <v>175</v>
      </c>
      <c r="B412" s="16" t="s">
        <v>241</v>
      </c>
      <c r="C412" s="77">
        <v>240</v>
      </c>
      <c r="D412" s="167"/>
      <c r="E412" s="167"/>
      <c r="F412" s="181">
        <f>F413</f>
        <v>0</v>
      </c>
    </row>
    <row r="413" spans="1:6" hidden="1" x14ac:dyDescent="0.2">
      <c r="A413" s="166" t="s">
        <v>90</v>
      </c>
      <c r="B413" s="16" t="s">
        <v>241</v>
      </c>
      <c r="C413" s="77">
        <v>240</v>
      </c>
      <c r="D413" s="167" t="s">
        <v>91</v>
      </c>
      <c r="E413" s="167" t="s">
        <v>40</v>
      </c>
      <c r="F413" s="181">
        <v>0</v>
      </c>
    </row>
    <row r="414" spans="1:6" ht="25.5" hidden="1" x14ac:dyDescent="0.2">
      <c r="A414" s="34" t="s">
        <v>350</v>
      </c>
      <c r="B414" s="77" t="s">
        <v>349</v>
      </c>
      <c r="C414" s="16"/>
      <c r="D414" s="16"/>
      <c r="E414" s="77"/>
      <c r="F414" s="207">
        <f>F417</f>
        <v>0</v>
      </c>
    </row>
    <row r="415" spans="1:6" ht="25.5" hidden="1" x14ac:dyDescent="0.2">
      <c r="A415" s="36" t="s">
        <v>41</v>
      </c>
      <c r="B415" s="77" t="s">
        <v>349</v>
      </c>
      <c r="C415" s="16" t="s">
        <v>174</v>
      </c>
      <c r="D415" s="16"/>
      <c r="E415" s="77"/>
      <c r="F415" s="207">
        <f>F417</f>
        <v>0</v>
      </c>
    </row>
    <row r="416" spans="1:6" ht="25.5" hidden="1" x14ac:dyDescent="0.2">
      <c r="A416" s="36" t="s">
        <v>175</v>
      </c>
      <c r="B416" s="77" t="s">
        <v>349</v>
      </c>
      <c r="C416" s="16" t="s">
        <v>176</v>
      </c>
      <c r="D416" s="16"/>
      <c r="E416" s="77"/>
      <c r="F416" s="207">
        <f>F417</f>
        <v>0</v>
      </c>
    </row>
    <row r="417" spans="1:6" ht="12.95" hidden="1" customHeight="1" x14ac:dyDescent="0.2">
      <c r="A417" s="204" t="s">
        <v>152</v>
      </c>
      <c r="B417" s="77" t="s">
        <v>349</v>
      </c>
      <c r="C417" s="205">
        <v>240</v>
      </c>
      <c r="D417" s="16" t="s">
        <v>142</v>
      </c>
      <c r="E417" s="16" t="s">
        <v>64</v>
      </c>
      <c r="F417" s="206">
        <v>0</v>
      </c>
    </row>
    <row r="418" spans="1:6" ht="25.5" hidden="1" x14ac:dyDescent="0.2">
      <c r="A418" s="36" t="s">
        <v>41</v>
      </c>
      <c r="B418" s="77" t="s">
        <v>349</v>
      </c>
      <c r="C418" s="16" t="s">
        <v>174</v>
      </c>
      <c r="D418" s="16"/>
      <c r="E418" s="77"/>
      <c r="F418" s="207">
        <f>F420</f>
        <v>0</v>
      </c>
    </row>
    <row r="419" spans="1:6" ht="25.5" hidden="1" x14ac:dyDescent="0.2">
      <c r="A419" s="36" t="s">
        <v>175</v>
      </c>
      <c r="B419" s="77" t="s">
        <v>349</v>
      </c>
      <c r="C419" s="16" t="s">
        <v>176</v>
      </c>
      <c r="D419" s="16"/>
      <c r="E419" s="77"/>
      <c r="F419" s="207">
        <f>F420</f>
        <v>0</v>
      </c>
    </row>
    <row r="420" spans="1:6" hidden="1" x14ac:dyDescent="0.2">
      <c r="A420" s="34" t="s">
        <v>90</v>
      </c>
      <c r="B420" s="77" t="s">
        <v>349</v>
      </c>
      <c r="C420" s="205">
        <v>240</v>
      </c>
      <c r="D420" s="16" t="s">
        <v>91</v>
      </c>
      <c r="E420" s="16" t="s">
        <v>40</v>
      </c>
      <c r="F420" s="206">
        <v>0</v>
      </c>
    </row>
    <row r="421" spans="1:6" ht="53.25" customHeight="1" x14ac:dyDescent="0.2">
      <c r="A421" s="43" t="s">
        <v>520</v>
      </c>
      <c r="B421" s="309" t="s">
        <v>521</v>
      </c>
      <c r="C421" s="16"/>
      <c r="D421" s="16"/>
      <c r="E421" s="16"/>
      <c r="F421" s="161">
        <f>F423</f>
        <v>142</v>
      </c>
    </row>
    <row r="422" spans="1:6" ht="73.5" customHeight="1" x14ac:dyDescent="0.2">
      <c r="A422" s="246" t="s">
        <v>245</v>
      </c>
      <c r="B422" s="309" t="s">
        <v>521</v>
      </c>
      <c r="C422" s="16" t="s">
        <v>181</v>
      </c>
      <c r="D422" s="16"/>
      <c r="E422" s="16"/>
      <c r="F422" s="161">
        <f>F423</f>
        <v>142</v>
      </c>
    </row>
    <row r="423" spans="1:6" ht="42" customHeight="1" x14ac:dyDescent="0.2">
      <c r="A423" s="246" t="s">
        <v>182</v>
      </c>
      <c r="B423" s="309" t="s">
        <v>521</v>
      </c>
      <c r="C423" s="308" t="s">
        <v>181</v>
      </c>
      <c r="D423" s="16"/>
      <c r="E423" s="16"/>
      <c r="F423" s="161">
        <f>F424</f>
        <v>142</v>
      </c>
    </row>
    <row r="424" spans="1:6" ht="24.75" customHeight="1" x14ac:dyDescent="0.2">
      <c r="A424" s="34" t="s">
        <v>204</v>
      </c>
      <c r="B424" s="309" t="s">
        <v>521</v>
      </c>
      <c r="C424" s="308" t="s">
        <v>183</v>
      </c>
      <c r="D424" s="16" t="s">
        <v>40</v>
      </c>
      <c r="E424" s="16" t="s">
        <v>205</v>
      </c>
      <c r="F424" s="161">
        <v>142</v>
      </c>
    </row>
    <row r="425" spans="1:6" ht="7.5" customHeight="1" x14ac:dyDescent="0.2">
      <c r="A425" s="310"/>
      <c r="B425" s="311"/>
      <c r="C425" s="312"/>
      <c r="D425" s="312"/>
      <c r="E425" s="312"/>
      <c r="F425" s="313"/>
    </row>
    <row r="426" spans="1:6" x14ac:dyDescent="0.2">
      <c r="A426" s="314"/>
      <c r="B426" s="312"/>
      <c r="C426" s="312"/>
      <c r="D426" s="312"/>
      <c r="E426" s="312"/>
      <c r="F426" s="313"/>
    </row>
    <row r="427" spans="1:6" x14ac:dyDescent="0.2">
      <c r="A427" s="314"/>
      <c r="B427" s="312"/>
      <c r="C427" s="312"/>
      <c r="D427" s="312"/>
      <c r="E427" s="312"/>
      <c r="F427" s="313"/>
    </row>
    <row r="428" spans="1:6" x14ac:dyDescent="0.2">
      <c r="A428" s="314"/>
      <c r="B428" s="312"/>
      <c r="C428" s="312"/>
      <c r="D428" s="312"/>
      <c r="E428" s="312"/>
      <c r="F428" s="313"/>
    </row>
    <row r="429" spans="1:6" x14ac:dyDescent="0.2">
      <c r="A429" s="314"/>
      <c r="B429" s="312"/>
      <c r="C429" s="312"/>
      <c r="D429" s="312"/>
      <c r="E429" s="312"/>
      <c r="F429" s="313"/>
    </row>
    <row r="430" spans="1:6" x14ac:dyDescent="0.2">
      <c r="A430" s="315"/>
      <c r="B430" s="316"/>
      <c r="C430" s="316"/>
      <c r="D430" s="316"/>
      <c r="E430" s="315"/>
      <c r="F430" s="317"/>
    </row>
  </sheetData>
  <autoFilter ref="A21:H405" xr:uid="{00000000-0009-0000-0000-000001000000}"/>
  <mergeCells count="6">
    <mergeCell ref="A16:F16"/>
    <mergeCell ref="A18:A19"/>
    <mergeCell ref="B18:B19"/>
    <mergeCell ref="C18:C19"/>
    <mergeCell ref="D18:D19"/>
    <mergeCell ref="E18:E19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H428"/>
  <sheetViews>
    <sheetView topLeftCell="A382" zoomScaleSheetLayoutView="83" workbookViewId="0">
      <selection sqref="A1:G395"/>
    </sheetView>
  </sheetViews>
  <sheetFormatPr defaultColWidth="9" defaultRowHeight="15.75" x14ac:dyDescent="0.25"/>
  <cols>
    <col min="1" max="1" width="53" style="9" customWidth="1"/>
    <col min="2" max="2" width="6.28515625" style="12" customWidth="1"/>
    <col min="3" max="3" width="6.7109375" style="11" customWidth="1"/>
    <col min="4" max="4" width="6.7109375" style="12" customWidth="1"/>
    <col min="5" max="5" width="16.28515625" style="12" customWidth="1"/>
    <col min="6" max="6" width="6" style="12" customWidth="1"/>
    <col min="7" max="7" width="14.5703125" style="13" customWidth="1"/>
    <col min="8" max="8" width="12.5703125" style="9" bestFit="1" customWidth="1"/>
    <col min="9" max="9" width="9" style="9" customWidth="1"/>
    <col min="10" max="16384" width="9" style="9"/>
  </cols>
  <sheetData>
    <row r="1" spans="1:7" x14ac:dyDescent="0.25">
      <c r="E1" s="99" t="s">
        <v>527</v>
      </c>
      <c r="F1" s="106"/>
      <c r="G1" s="104"/>
    </row>
    <row r="2" spans="1:7" x14ac:dyDescent="0.25">
      <c r="E2" s="99" t="s">
        <v>532</v>
      </c>
      <c r="F2" s="101"/>
      <c r="G2" s="104"/>
    </row>
    <row r="3" spans="1:7" x14ac:dyDescent="0.25">
      <c r="E3" s="99" t="s">
        <v>10</v>
      </c>
      <c r="F3" s="105"/>
      <c r="G3" s="104"/>
    </row>
    <row r="4" spans="1:7" x14ac:dyDescent="0.25">
      <c r="E4" s="99" t="s">
        <v>3</v>
      </c>
      <c r="F4" s="101"/>
      <c r="G4" s="104"/>
    </row>
    <row r="5" spans="1:7" x14ac:dyDescent="0.25">
      <c r="E5" s="99" t="s">
        <v>4</v>
      </c>
      <c r="F5" s="101"/>
      <c r="G5" s="104"/>
    </row>
    <row r="6" spans="1:7" x14ac:dyDescent="0.25">
      <c r="E6" s="99" t="s">
        <v>531</v>
      </c>
      <c r="F6" s="102"/>
      <c r="G6" s="104"/>
    </row>
    <row r="8" spans="1:7" ht="14.25" customHeight="1" x14ac:dyDescent="0.25">
      <c r="E8" s="99" t="s">
        <v>455</v>
      </c>
      <c r="F8" s="106"/>
      <c r="G8" s="104"/>
    </row>
    <row r="9" spans="1:7" x14ac:dyDescent="0.25">
      <c r="E9" s="99" t="s">
        <v>489</v>
      </c>
      <c r="F9" s="101"/>
      <c r="G9" s="104"/>
    </row>
    <row r="10" spans="1:7" x14ac:dyDescent="0.25">
      <c r="E10" s="99" t="s">
        <v>10</v>
      </c>
      <c r="F10" s="105"/>
      <c r="G10" s="104"/>
    </row>
    <row r="11" spans="1:7" x14ac:dyDescent="0.25">
      <c r="E11" s="99" t="s">
        <v>3</v>
      </c>
      <c r="F11" s="101"/>
      <c r="G11" s="104"/>
    </row>
    <row r="12" spans="1:7" x14ac:dyDescent="0.25">
      <c r="E12" s="99" t="s">
        <v>4</v>
      </c>
      <c r="F12" s="101"/>
      <c r="G12" s="104"/>
    </row>
    <row r="13" spans="1:7" x14ac:dyDescent="0.25">
      <c r="E13" s="99" t="s">
        <v>487</v>
      </c>
      <c r="F13" s="102"/>
      <c r="G13" s="104"/>
    </row>
    <row r="14" spans="1:7" s="104" customFormat="1" ht="12.75" customHeight="1" x14ac:dyDescent="0.25">
      <c r="E14" s="99"/>
      <c r="F14" s="102"/>
    </row>
    <row r="15" spans="1:7" ht="15" customHeight="1" x14ac:dyDescent="0.25">
      <c r="B15" s="10"/>
      <c r="C15" s="10"/>
      <c r="D15" s="10"/>
      <c r="E15" s="10"/>
      <c r="F15" s="10"/>
      <c r="G15" s="10"/>
    </row>
    <row r="16" spans="1:7" s="15" customFormat="1" ht="34.15" customHeight="1" x14ac:dyDescent="0.25">
      <c r="A16" s="331" t="s">
        <v>462</v>
      </c>
      <c r="B16" s="331"/>
      <c r="C16" s="331"/>
      <c r="D16" s="331"/>
      <c r="E16" s="331"/>
      <c r="F16" s="331"/>
      <c r="G16" s="331"/>
    </row>
    <row r="17" spans="1:8" s="15" customFormat="1" x14ac:dyDescent="0.25">
      <c r="A17" s="14"/>
      <c r="B17" s="14"/>
      <c r="C17" s="14"/>
      <c r="D17" s="14"/>
      <c r="E17" s="14"/>
      <c r="F17" s="14"/>
      <c r="G17" s="14"/>
    </row>
    <row r="18" spans="1:8" s="17" customFormat="1" ht="38.85" customHeight="1" x14ac:dyDescent="0.2">
      <c r="A18" s="332" t="s">
        <v>0</v>
      </c>
      <c r="B18" s="332" t="s">
        <v>281</v>
      </c>
      <c r="C18" s="332" t="s">
        <v>23</v>
      </c>
      <c r="D18" s="332" t="s">
        <v>242</v>
      </c>
      <c r="E18" s="332" t="s">
        <v>6</v>
      </c>
      <c r="F18" s="332" t="s">
        <v>22</v>
      </c>
      <c r="G18" s="16" t="s">
        <v>25</v>
      </c>
    </row>
    <row r="19" spans="1:8" s="17" customFormat="1" ht="12.75" x14ac:dyDescent="0.2">
      <c r="A19" s="332"/>
      <c r="B19" s="332"/>
      <c r="C19" s="332"/>
      <c r="D19" s="332"/>
      <c r="E19" s="332"/>
      <c r="F19" s="332"/>
      <c r="G19" s="16" t="s">
        <v>298</v>
      </c>
    </row>
    <row r="20" spans="1:8" s="21" customFormat="1" ht="21.2" customHeight="1" x14ac:dyDescent="0.2">
      <c r="A20" s="292" t="s">
        <v>1</v>
      </c>
      <c r="B20" s="293"/>
      <c r="C20" s="294"/>
      <c r="D20" s="294"/>
      <c r="E20" s="294"/>
      <c r="F20" s="294"/>
      <c r="G20" s="295">
        <f>G412+G21+G404</f>
        <v>232517.88199999998</v>
      </c>
    </row>
    <row r="21" spans="1:8" s="21" customFormat="1" ht="33" customHeight="1" x14ac:dyDescent="0.2">
      <c r="A21" s="292" t="s">
        <v>11</v>
      </c>
      <c r="B21" s="293" t="s">
        <v>9</v>
      </c>
      <c r="C21" s="294"/>
      <c r="D21" s="294"/>
      <c r="E21" s="294"/>
      <c r="F21" s="294"/>
      <c r="G21" s="295">
        <f>G22+G85+G95+G127+G197+G301+G313+G352+G359+G371+G396</f>
        <v>232517.88199999998</v>
      </c>
    </row>
    <row r="22" spans="1:8" s="21" customFormat="1" ht="24.75" customHeight="1" x14ac:dyDescent="0.2">
      <c r="A22" s="22" t="s">
        <v>243</v>
      </c>
      <c r="B22" s="23"/>
      <c r="C22" s="23" t="s">
        <v>40</v>
      </c>
      <c r="D22" s="24"/>
      <c r="E22" s="24"/>
      <c r="F22" s="24"/>
      <c r="G22" s="25">
        <f>SUM(G23+G46+G60+G67+G53)</f>
        <v>41469.293000000005</v>
      </c>
    </row>
    <row r="23" spans="1:8" s="29" customFormat="1" ht="54" x14ac:dyDescent="0.25">
      <c r="A23" s="26" t="s">
        <v>184</v>
      </c>
      <c r="B23" s="27"/>
      <c r="C23" s="27" t="s">
        <v>40</v>
      </c>
      <c r="D23" s="27" t="s">
        <v>52</v>
      </c>
      <c r="E23" s="27"/>
      <c r="F23" s="27"/>
      <c r="G23" s="28">
        <f>G24</f>
        <v>32054.928</v>
      </c>
    </row>
    <row r="24" spans="1:8" s="29" customFormat="1" ht="38.25" x14ac:dyDescent="0.25">
      <c r="A24" s="18" t="s">
        <v>12</v>
      </c>
      <c r="B24" s="19"/>
      <c r="C24" s="19" t="s">
        <v>40</v>
      </c>
      <c r="D24" s="19" t="s">
        <v>52</v>
      </c>
      <c r="E24" s="19" t="s">
        <v>13</v>
      </c>
      <c r="F24" s="19"/>
      <c r="G24" s="30">
        <f>SUM(G25+G41)</f>
        <v>32054.928</v>
      </c>
    </row>
    <row r="25" spans="1:8" s="29" customFormat="1" ht="51" x14ac:dyDescent="0.25">
      <c r="A25" s="31" t="s">
        <v>14</v>
      </c>
      <c r="B25" s="32"/>
      <c r="C25" s="32" t="s">
        <v>40</v>
      </c>
      <c r="D25" s="32" t="s">
        <v>52</v>
      </c>
      <c r="E25" s="32" t="s">
        <v>15</v>
      </c>
      <c r="F25" s="32"/>
      <c r="G25" s="33">
        <f>SUM(G26)</f>
        <v>30002.562999999998</v>
      </c>
    </row>
    <row r="26" spans="1:8" s="29" customFormat="1" ht="13.5" x14ac:dyDescent="0.25">
      <c r="A26" s="34" t="s">
        <v>16</v>
      </c>
      <c r="B26" s="19"/>
      <c r="C26" s="16" t="s">
        <v>40</v>
      </c>
      <c r="D26" s="16" t="s">
        <v>52</v>
      </c>
      <c r="E26" s="16" t="s">
        <v>17</v>
      </c>
      <c r="F26" s="19"/>
      <c r="G26" s="35">
        <f>SUM(G27+G35+G38)</f>
        <v>30002.562999999998</v>
      </c>
    </row>
    <row r="27" spans="1:8" s="21" customFormat="1" ht="12.75" x14ac:dyDescent="0.2">
      <c r="A27" s="34" t="s">
        <v>178</v>
      </c>
      <c r="B27" s="16"/>
      <c r="C27" s="16" t="s">
        <v>40</v>
      </c>
      <c r="D27" s="16" t="s">
        <v>52</v>
      </c>
      <c r="E27" s="16" t="s">
        <v>244</v>
      </c>
      <c r="F27" s="19"/>
      <c r="G27" s="35">
        <f>G28+G30+G32</f>
        <v>29428.138999999999</v>
      </c>
    </row>
    <row r="28" spans="1:8" s="21" customFormat="1" ht="63.75" x14ac:dyDescent="0.2">
      <c r="A28" s="36" t="s">
        <v>245</v>
      </c>
      <c r="B28" s="16"/>
      <c r="C28" s="16" t="s">
        <v>40</v>
      </c>
      <c r="D28" s="16" t="s">
        <v>52</v>
      </c>
      <c r="E28" s="16" t="s">
        <v>244</v>
      </c>
      <c r="F28" s="16" t="s">
        <v>181</v>
      </c>
      <c r="G28" s="35">
        <f>G29</f>
        <v>23189.885999999999</v>
      </c>
    </row>
    <row r="29" spans="1:8" s="21" customFormat="1" ht="25.5" x14ac:dyDescent="0.2">
      <c r="A29" s="36" t="s">
        <v>182</v>
      </c>
      <c r="B29" s="16"/>
      <c r="C29" s="16" t="s">
        <v>40</v>
      </c>
      <c r="D29" s="16" t="s">
        <v>52</v>
      </c>
      <c r="E29" s="16" t="s">
        <v>244</v>
      </c>
      <c r="F29" s="16" t="s">
        <v>183</v>
      </c>
      <c r="G29" s="35">
        <f>16119.853+1611.12+80+4892.355+486.558</f>
        <v>23189.885999999999</v>
      </c>
    </row>
    <row r="30" spans="1:8" s="21" customFormat="1" ht="25.5" x14ac:dyDescent="0.2">
      <c r="A30" s="36" t="s">
        <v>41</v>
      </c>
      <c r="B30" s="16"/>
      <c r="C30" s="16" t="s">
        <v>40</v>
      </c>
      <c r="D30" s="16" t="s">
        <v>52</v>
      </c>
      <c r="E30" s="16" t="s">
        <v>244</v>
      </c>
      <c r="F30" s="16" t="s">
        <v>174</v>
      </c>
      <c r="G30" s="35">
        <f>G31</f>
        <v>6034.3810000000003</v>
      </c>
    </row>
    <row r="31" spans="1:8" s="21" customFormat="1" ht="25.5" x14ac:dyDescent="0.2">
      <c r="A31" s="36" t="s">
        <v>175</v>
      </c>
      <c r="B31" s="16"/>
      <c r="C31" s="16" t="s">
        <v>40</v>
      </c>
      <c r="D31" s="16" t="s">
        <v>52</v>
      </c>
      <c r="E31" s="16" t="s">
        <v>244</v>
      </c>
      <c r="F31" s="16" t="s">
        <v>176</v>
      </c>
      <c r="G31" s="35">
        <f>140+15+213.6+190+84+24.048+782+6.5+31.4+16+32.4+530+32+450+100+175+65+40+55+40+411.6+141.614+1100+187.69+50+58.65+5.06+238.062+4.8+764.25+24.1+26.607</f>
        <v>6034.3810000000003</v>
      </c>
      <c r="H31" s="37"/>
    </row>
    <row r="32" spans="1:8" s="17" customFormat="1" ht="15" customHeight="1" x14ac:dyDescent="0.2">
      <c r="A32" s="36" t="s">
        <v>43</v>
      </c>
      <c r="B32" s="16"/>
      <c r="C32" s="16" t="s">
        <v>40</v>
      </c>
      <c r="D32" s="16" t="s">
        <v>52</v>
      </c>
      <c r="E32" s="16" t="s">
        <v>244</v>
      </c>
      <c r="F32" s="16" t="s">
        <v>185</v>
      </c>
      <c r="G32" s="35">
        <f>G33+G34</f>
        <v>203.87200000000001</v>
      </c>
    </row>
    <row r="33" spans="1:7" s="17" customFormat="1" ht="0.75" hidden="1" customHeight="1" x14ac:dyDescent="0.2">
      <c r="A33" s="36" t="s">
        <v>334</v>
      </c>
      <c r="B33" s="16"/>
      <c r="C33" s="16" t="s">
        <v>40</v>
      </c>
      <c r="D33" s="16" t="s">
        <v>52</v>
      </c>
      <c r="E33" s="16" t="s">
        <v>244</v>
      </c>
      <c r="F33" s="16" t="s">
        <v>333</v>
      </c>
      <c r="G33" s="35">
        <v>0</v>
      </c>
    </row>
    <row r="34" spans="1:7" s="17" customFormat="1" ht="12.75" x14ac:dyDescent="0.2">
      <c r="A34" s="36" t="s">
        <v>186</v>
      </c>
      <c r="B34" s="16"/>
      <c r="C34" s="16" t="s">
        <v>40</v>
      </c>
      <c r="D34" s="16" t="s">
        <v>52</v>
      </c>
      <c r="E34" s="16" t="s">
        <v>244</v>
      </c>
      <c r="F34" s="16" t="s">
        <v>187</v>
      </c>
      <c r="G34" s="35">
        <v>203.87200000000001</v>
      </c>
    </row>
    <row r="35" spans="1:7" s="17" customFormat="1" ht="38.25" x14ac:dyDescent="0.2">
      <c r="A35" s="38" t="s">
        <v>246</v>
      </c>
      <c r="B35" s="16"/>
      <c r="C35" s="16" t="s">
        <v>40</v>
      </c>
      <c r="D35" s="16" t="s">
        <v>52</v>
      </c>
      <c r="E35" s="16" t="s">
        <v>21</v>
      </c>
      <c r="F35" s="16"/>
      <c r="G35" s="35">
        <f>SUM(G37)</f>
        <v>69.323999999999998</v>
      </c>
    </row>
    <row r="36" spans="1:7" s="17" customFormat="1" ht="12.75" x14ac:dyDescent="0.2">
      <c r="A36" s="36" t="s">
        <v>247</v>
      </c>
      <c r="B36" s="16"/>
      <c r="C36" s="16" t="s">
        <v>40</v>
      </c>
      <c r="D36" s="16" t="s">
        <v>52</v>
      </c>
      <c r="E36" s="16" t="s">
        <v>21</v>
      </c>
      <c r="F36" s="39" t="s">
        <v>189</v>
      </c>
      <c r="G36" s="35">
        <f>G37</f>
        <v>69.323999999999998</v>
      </c>
    </row>
    <row r="37" spans="1:7" s="17" customFormat="1" ht="12.75" x14ac:dyDescent="0.2">
      <c r="A37" s="36" t="s">
        <v>190</v>
      </c>
      <c r="B37" s="16"/>
      <c r="C37" s="16" t="s">
        <v>40</v>
      </c>
      <c r="D37" s="16" t="s">
        <v>52</v>
      </c>
      <c r="E37" s="16" t="s">
        <v>21</v>
      </c>
      <c r="F37" s="39" t="s">
        <v>5</v>
      </c>
      <c r="G37" s="35">
        <v>69.323999999999998</v>
      </c>
    </row>
    <row r="38" spans="1:7" s="17" customFormat="1" ht="38.25" x14ac:dyDescent="0.2">
      <c r="A38" s="38" t="s">
        <v>191</v>
      </c>
      <c r="B38" s="16"/>
      <c r="C38" s="16" t="s">
        <v>40</v>
      </c>
      <c r="D38" s="16" t="s">
        <v>52</v>
      </c>
      <c r="E38" s="16" t="s">
        <v>248</v>
      </c>
      <c r="F38" s="16"/>
      <c r="G38" s="35">
        <f>SUM(G40)</f>
        <v>505.1</v>
      </c>
    </row>
    <row r="39" spans="1:7" s="17" customFormat="1" ht="12.75" x14ac:dyDescent="0.2">
      <c r="A39" s="36" t="s">
        <v>247</v>
      </c>
      <c r="B39" s="16"/>
      <c r="C39" s="16" t="s">
        <v>40</v>
      </c>
      <c r="D39" s="16" t="s">
        <v>52</v>
      </c>
      <c r="E39" s="16" t="s">
        <v>248</v>
      </c>
      <c r="F39" s="16" t="s">
        <v>189</v>
      </c>
      <c r="G39" s="35">
        <f>G40</f>
        <v>505.1</v>
      </c>
    </row>
    <row r="40" spans="1:7" s="17" customFormat="1" ht="12.75" x14ac:dyDescent="0.2">
      <c r="A40" s="36" t="s">
        <v>190</v>
      </c>
      <c r="B40" s="16"/>
      <c r="C40" s="16" t="s">
        <v>40</v>
      </c>
      <c r="D40" s="16" t="s">
        <v>52</v>
      </c>
      <c r="E40" s="16" t="s">
        <v>248</v>
      </c>
      <c r="F40" s="16" t="s">
        <v>5</v>
      </c>
      <c r="G40" s="35">
        <v>505.1</v>
      </c>
    </row>
    <row r="41" spans="1:7" s="21" customFormat="1" ht="51" x14ac:dyDescent="0.2">
      <c r="A41" s="31" t="s">
        <v>193</v>
      </c>
      <c r="B41" s="32"/>
      <c r="C41" s="32" t="s">
        <v>40</v>
      </c>
      <c r="D41" s="32" t="s">
        <v>52</v>
      </c>
      <c r="E41" s="32" t="s">
        <v>194</v>
      </c>
      <c r="F41" s="27"/>
      <c r="G41" s="33">
        <f>G42</f>
        <v>2052.3649999999998</v>
      </c>
    </row>
    <row r="42" spans="1:7" s="21" customFormat="1" ht="12.75" x14ac:dyDescent="0.2">
      <c r="A42" s="34" t="s">
        <v>16</v>
      </c>
      <c r="B42" s="16"/>
      <c r="C42" s="16" t="s">
        <v>40</v>
      </c>
      <c r="D42" s="16" t="s">
        <v>52</v>
      </c>
      <c r="E42" s="16" t="s">
        <v>195</v>
      </c>
      <c r="F42" s="19"/>
      <c r="G42" s="35">
        <f>SUM(G43)</f>
        <v>2052.3649999999998</v>
      </c>
    </row>
    <row r="43" spans="1:7" s="21" customFormat="1" ht="38.25" x14ac:dyDescent="0.2">
      <c r="A43" s="34" t="s">
        <v>196</v>
      </c>
      <c r="B43" s="16"/>
      <c r="C43" s="16" t="s">
        <v>40</v>
      </c>
      <c r="D43" s="16" t="s">
        <v>52</v>
      </c>
      <c r="E43" s="16" t="s">
        <v>197</v>
      </c>
      <c r="F43" s="19"/>
      <c r="G43" s="35">
        <f>SUM(G45)</f>
        <v>2052.3649999999998</v>
      </c>
    </row>
    <row r="44" spans="1:7" s="17" customFormat="1" ht="63.75" x14ac:dyDescent="0.2">
      <c r="A44" s="36" t="s">
        <v>245</v>
      </c>
      <c r="B44" s="16"/>
      <c r="C44" s="16" t="s">
        <v>40</v>
      </c>
      <c r="D44" s="16" t="s">
        <v>52</v>
      </c>
      <c r="E44" s="16" t="s">
        <v>197</v>
      </c>
      <c r="F44" s="16" t="s">
        <v>181</v>
      </c>
      <c r="G44" s="35">
        <f>G45</f>
        <v>2052.3649999999998</v>
      </c>
    </row>
    <row r="45" spans="1:7" s="17" customFormat="1" ht="25.5" x14ac:dyDescent="0.2">
      <c r="A45" s="36" t="s">
        <v>182</v>
      </c>
      <c r="B45" s="16"/>
      <c r="C45" s="16" t="s">
        <v>40</v>
      </c>
      <c r="D45" s="16" t="s">
        <v>52</v>
      </c>
      <c r="E45" s="16" t="s">
        <v>197</v>
      </c>
      <c r="F45" s="16" t="s">
        <v>183</v>
      </c>
      <c r="G45" s="35">
        <v>2052.3649999999998</v>
      </c>
    </row>
    <row r="46" spans="1:7" s="17" customFormat="1" ht="40.5" x14ac:dyDescent="0.2">
      <c r="A46" s="26" t="s">
        <v>7</v>
      </c>
      <c r="B46" s="27"/>
      <c r="C46" s="27" t="s">
        <v>40</v>
      </c>
      <c r="D46" s="27" t="s">
        <v>192</v>
      </c>
      <c r="E46" s="27"/>
      <c r="F46" s="27"/>
      <c r="G46" s="28">
        <f>G47</f>
        <v>719.06100000000004</v>
      </c>
    </row>
    <row r="47" spans="1:7" s="17" customFormat="1" ht="38.25" x14ac:dyDescent="0.2">
      <c r="A47" s="18" t="s">
        <v>249</v>
      </c>
      <c r="B47" s="19"/>
      <c r="C47" s="19" t="s">
        <v>40</v>
      </c>
      <c r="D47" s="19" t="s">
        <v>192</v>
      </c>
      <c r="E47" s="19" t="s">
        <v>13</v>
      </c>
      <c r="F47" s="19"/>
      <c r="G47" s="30">
        <f>G50</f>
        <v>719.06100000000004</v>
      </c>
    </row>
    <row r="48" spans="1:7" s="17" customFormat="1" ht="51" x14ac:dyDescent="0.2">
      <c r="A48" s="31" t="s">
        <v>14</v>
      </c>
      <c r="B48" s="27"/>
      <c r="C48" s="32" t="s">
        <v>40</v>
      </c>
      <c r="D48" s="32" t="s">
        <v>192</v>
      </c>
      <c r="E48" s="32" t="s">
        <v>15</v>
      </c>
      <c r="F48" s="27"/>
      <c r="G48" s="33">
        <f>SUM(G49)</f>
        <v>719.06100000000004</v>
      </c>
    </row>
    <row r="49" spans="1:7" s="17" customFormat="1" ht="12.75" x14ac:dyDescent="0.2">
      <c r="A49" s="34" t="s">
        <v>16</v>
      </c>
      <c r="B49" s="19"/>
      <c r="C49" s="16" t="s">
        <v>40</v>
      </c>
      <c r="D49" s="16" t="s">
        <v>192</v>
      </c>
      <c r="E49" s="16" t="s">
        <v>17</v>
      </c>
      <c r="F49" s="19"/>
      <c r="G49" s="35">
        <f>SUM(G50)</f>
        <v>719.06100000000004</v>
      </c>
    </row>
    <row r="50" spans="1:7" s="17" customFormat="1" ht="38.25" x14ac:dyDescent="0.2">
      <c r="A50" s="38" t="s">
        <v>8</v>
      </c>
      <c r="B50" s="40"/>
      <c r="C50" s="16" t="s">
        <v>40</v>
      </c>
      <c r="D50" s="16" t="s">
        <v>192</v>
      </c>
      <c r="E50" s="16" t="s">
        <v>19</v>
      </c>
      <c r="F50" s="16"/>
      <c r="G50" s="35">
        <f>G52</f>
        <v>719.06100000000004</v>
      </c>
    </row>
    <row r="51" spans="1:7" s="17" customFormat="1" ht="12.75" x14ac:dyDescent="0.2">
      <c r="A51" s="36" t="s">
        <v>247</v>
      </c>
      <c r="B51" s="16"/>
      <c r="C51" s="16" t="s">
        <v>40</v>
      </c>
      <c r="D51" s="16" t="s">
        <v>192</v>
      </c>
      <c r="E51" s="16" t="s">
        <v>19</v>
      </c>
      <c r="F51" s="16" t="s">
        <v>189</v>
      </c>
      <c r="G51" s="35">
        <f>G52</f>
        <v>719.06100000000004</v>
      </c>
    </row>
    <row r="52" spans="1:7" s="17" customFormat="1" ht="12.75" x14ac:dyDescent="0.2">
      <c r="A52" s="36" t="s">
        <v>190</v>
      </c>
      <c r="B52" s="16"/>
      <c r="C52" s="16" t="s">
        <v>40</v>
      </c>
      <c r="D52" s="16" t="s">
        <v>192</v>
      </c>
      <c r="E52" s="16" t="s">
        <v>19</v>
      </c>
      <c r="F52" s="16" t="s">
        <v>5</v>
      </c>
      <c r="G52" s="35">
        <v>719.06100000000004</v>
      </c>
    </row>
    <row r="53" spans="1:7" s="29" customFormat="1" ht="13.5" hidden="1" x14ac:dyDescent="0.25">
      <c r="A53" s="26" t="s">
        <v>300</v>
      </c>
      <c r="B53" s="27" t="s">
        <v>317</v>
      </c>
      <c r="C53" s="27" t="s">
        <v>40</v>
      </c>
      <c r="D53" s="27" t="s">
        <v>80</v>
      </c>
      <c r="E53" s="27"/>
      <c r="F53" s="27"/>
      <c r="G53" s="28">
        <f>G54</f>
        <v>0</v>
      </c>
    </row>
    <row r="54" spans="1:7" s="29" customFormat="1" ht="38.25" hidden="1" x14ac:dyDescent="0.25">
      <c r="A54" s="169" t="s">
        <v>321</v>
      </c>
      <c r="B54" s="19"/>
      <c r="C54" s="19" t="s">
        <v>40</v>
      </c>
      <c r="D54" s="19" t="s">
        <v>80</v>
      </c>
      <c r="E54" s="19" t="s">
        <v>207</v>
      </c>
      <c r="F54" s="19"/>
      <c r="G54" s="30">
        <f>G55</f>
        <v>0</v>
      </c>
    </row>
    <row r="55" spans="1:7" s="29" customFormat="1" ht="13.5" hidden="1" x14ac:dyDescent="0.25">
      <c r="A55" s="31" t="s">
        <v>16</v>
      </c>
      <c r="B55" s="27"/>
      <c r="C55" s="32" t="s">
        <v>40</v>
      </c>
      <c r="D55" s="32" t="s">
        <v>80</v>
      </c>
      <c r="E55" s="32" t="s">
        <v>208</v>
      </c>
      <c r="F55" s="27"/>
      <c r="G55" s="33">
        <f>SUM(G56)</f>
        <v>0</v>
      </c>
    </row>
    <row r="56" spans="1:7" s="29" customFormat="1" ht="13.5" hidden="1" x14ac:dyDescent="0.25">
      <c r="A56" s="34" t="s">
        <v>16</v>
      </c>
      <c r="B56" s="19"/>
      <c r="C56" s="16" t="s">
        <v>40</v>
      </c>
      <c r="D56" s="16" t="s">
        <v>80</v>
      </c>
      <c r="E56" s="16" t="s">
        <v>209</v>
      </c>
      <c r="F56" s="19"/>
      <c r="G56" s="35">
        <f>SUM(G57)</f>
        <v>0</v>
      </c>
    </row>
    <row r="57" spans="1:7" s="29" customFormat="1" ht="25.5" hidden="1" x14ac:dyDescent="0.25">
      <c r="A57" s="34" t="s">
        <v>320</v>
      </c>
      <c r="B57" s="16"/>
      <c r="C57" s="16" t="s">
        <v>40</v>
      </c>
      <c r="D57" s="16" t="s">
        <v>80</v>
      </c>
      <c r="E57" s="16" t="s">
        <v>299</v>
      </c>
      <c r="F57" s="19"/>
      <c r="G57" s="35">
        <f>G59</f>
        <v>0</v>
      </c>
    </row>
    <row r="58" spans="1:7" s="29" customFormat="1" ht="13.5" hidden="1" x14ac:dyDescent="0.25">
      <c r="A58" s="36" t="s">
        <v>2</v>
      </c>
      <c r="B58" s="16"/>
      <c r="C58" s="16" t="s">
        <v>40</v>
      </c>
      <c r="D58" s="16" t="s">
        <v>80</v>
      </c>
      <c r="E58" s="16" t="s">
        <v>299</v>
      </c>
      <c r="F58" s="16" t="s">
        <v>185</v>
      </c>
      <c r="G58" s="35">
        <f>G59</f>
        <v>0</v>
      </c>
    </row>
    <row r="59" spans="1:7" s="29" customFormat="1" ht="13.5" hidden="1" x14ac:dyDescent="0.25">
      <c r="A59" s="36" t="s">
        <v>319</v>
      </c>
      <c r="B59" s="16"/>
      <c r="C59" s="16" t="s">
        <v>40</v>
      </c>
      <c r="D59" s="16" t="s">
        <v>80</v>
      </c>
      <c r="E59" s="16" t="s">
        <v>299</v>
      </c>
      <c r="F59" s="16" t="s">
        <v>318</v>
      </c>
      <c r="G59" s="35">
        <v>0</v>
      </c>
    </row>
    <row r="60" spans="1:7" s="29" customFormat="1" ht="13.5" x14ac:dyDescent="0.25">
      <c r="A60" s="26" t="s">
        <v>214</v>
      </c>
      <c r="B60" s="27"/>
      <c r="C60" s="27" t="s">
        <v>40</v>
      </c>
      <c r="D60" s="27" t="s">
        <v>39</v>
      </c>
      <c r="E60" s="27"/>
      <c r="F60" s="27"/>
      <c r="G60" s="28">
        <f>G61</f>
        <v>1000</v>
      </c>
    </row>
    <row r="61" spans="1:7" s="29" customFormat="1" ht="38.25" x14ac:dyDescent="0.25">
      <c r="A61" s="41" t="s">
        <v>250</v>
      </c>
      <c r="B61" s="19"/>
      <c r="C61" s="19" t="s">
        <v>40</v>
      </c>
      <c r="D61" s="19" t="s">
        <v>39</v>
      </c>
      <c r="E61" s="19" t="s">
        <v>207</v>
      </c>
      <c r="F61" s="19"/>
      <c r="G61" s="30">
        <f>G62</f>
        <v>1000</v>
      </c>
    </row>
    <row r="62" spans="1:7" s="29" customFormat="1" ht="13.5" x14ac:dyDescent="0.25">
      <c r="A62" s="42" t="s">
        <v>16</v>
      </c>
      <c r="B62" s="27"/>
      <c r="C62" s="32" t="s">
        <v>40</v>
      </c>
      <c r="D62" s="32" t="s">
        <v>39</v>
      </c>
      <c r="E62" s="32" t="s">
        <v>208</v>
      </c>
      <c r="F62" s="27"/>
      <c r="G62" s="33">
        <f>SUM(G63)</f>
        <v>1000</v>
      </c>
    </row>
    <row r="63" spans="1:7" s="29" customFormat="1" ht="13.5" x14ac:dyDescent="0.25">
      <c r="A63" s="43" t="s">
        <v>16</v>
      </c>
      <c r="B63" s="19"/>
      <c r="C63" s="16" t="s">
        <v>40</v>
      </c>
      <c r="D63" s="16" t="s">
        <v>39</v>
      </c>
      <c r="E63" s="16" t="s">
        <v>209</v>
      </c>
      <c r="F63" s="19"/>
      <c r="G63" s="35">
        <f>SUM(G64)</f>
        <v>1000</v>
      </c>
    </row>
    <row r="64" spans="1:7" s="29" customFormat="1" ht="38.25" x14ac:dyDescent="0.25">
      <c r="A64" s="34" t="s">
        <v>210</v>
      </c>
      <c r="B64" s="16"/>
      <c r="C64" s="16" t="s">
        <v>40</v>
      </c>
      <c r="D64" s="16" t="s">
        <v>39</v>
      </c>
      <c r="E64" s="16" t="s">
        <v>211</v>
      </c>
      <c r="F64" s="19"/>
      <c r="G64" s="35">
        <f>G66</f>
        <v>1000</v>
      </c>
    </row>
    <row r="65" spans="1:8" s="29" customFormat="1" ht="13.5" x14ac:dyDescent="0.25">
      <c r="A65" s="36" t="s">
        <v>43</v>
      </c>
      <c r="B65" s="16"/>
      <c r="C65" s="16" t="s">
        <v>40</v>
      </c>
      <c r="D65" s="16" t="s">
        <v>39</v>
      </c>
      <c r="E65" s="16" t="s">
        <v>211</v>
      </c>
      <c r="F65" s="16" t="s">
        <v>185</v>
      </c>
      <c r="G65" s="35">
        <v>1000</v>
      </c>
    </row>
    <row r="66" spans="1:8" s="29" customFormat="1" ht="13.5" x14ac:dyDescent="0.25">
      <c r="A66" s="36" t="s">
        <v>212</v>
      </c>
      <c r="B66" s="16"/>
      <c r="C66" s="16" t="s">
        <v>40</v>
      </c>
      <c r="D66" s="16" t="s">
        <v>39</v>
      </c>
      <c r="E66" s="16" t="s">
        <v>211</v>
      </c>
      <c r="F66" s="16" t="s">
        <v>213</v>
      </c>
      <c r="G66" s="35">
        <v>1000</v>
      </c>
    </row>
    <row r="67" spans="1:8" s="29" customFormat="1" ht="13.5" x14ac:dyDescent="0.25">
      <c r="A67" s="26" t="s">
        <v>204</v>
      </c>
      <c r="B67" s="27"/>
      <c r="C67" s="27" t="s">
        <v>40</v>
      </c>
      <c r="D67" s="27" t="s">
        <v>205</v>
      </c>
      <c r="E67" s="27"/>
      <c r="F67" s="27"/>
      <c r="G67" s="28">
        <f>G68+G79</f>
        <v>7695.3040000000001</v>
      </c>
    </row>
    <row r="68" spans="1:8" s="29" customFormat="1" ht="25.5" x14ac:dyDescent="0.25">
      <c r="A68" s="18" t="s">
        <v>198</v>
      </c>
      <c r="B68" s="19"/>
      <c r="C68" s="19" t="s">
        <v>40</v>
      </c>
      <c r="D68" s="19" t="s">
        <v>205</v>
      </c>
      <c r="E68" s="19" t="s">
        <v>199</v>
      </c>
      <c r="F68" s="19"/>
      <c r="G68" s="30">
        <f>G69</f>
        <v>7553.3040000000001</v>
      </c>
    </row>
    <row r="69" spans="1:8" s="29" customFormat="1" ht="13.5" x14ac:dyDescent="0.25">
      <c r="A69" s="42" t="s">
        <v>16</v>
      </c>
      <c r="B69" s="32"/>
      <c r="C69" s="32" t="s">
        <v>40</v>
      </c>
      <c r="D69" s="32" t="s">
        <v>205</v>
      </c>
      <c r="E69" s="32" t="s">
        <v>200</v>
      </c>
      <c r="F69" s="32"/>
      <c r="G69" s="33">
        <f>SUM(G70)</f>
        <v>7553.3040000000001</v>
      </c>
    </row>
    <row r="70" spans="1:8" s="29" customFormat="1" ht="13.5" x14ac:dyDescent="0.25">
      <c r="A70" s="43" t="s">
        <v>16</v>
      </c>
      <c r="B70" s="16"/>
      <c r="C70" s="16" t="s">
        <v>40</v>
      </c>
      <c r="D70" s="16" t="s">
        <v>205</v>
      </c>
      <c r="E70" s="16" t="s">
        <v>201</v>
      </c>
      <c r="F70" s="16"/>
      <c r="G70" s="35">
        <f>SUM(G71)</f>
        <v>7553.3040000000001</v>
      </c>
    </row>
    <row r="71" spans="1:8" s="29" customFormat="1" ht="13.5" x14ac:dyDescent="0.25">
      <c r="A71" s="34" t="s">
        <v>202</v>
      </c>
      <c r="B71" s="16"/>
      <c r="C71" s="16" t="s">
        <v>40</v>
      </c>
      <c r="D71" s="16" t="s">
        <v>205</v>
      </c>
      <c r="E71" s="16" t="s">
        <v>203</v>
      </c>
      <c r="F71" s="16"/>
      <c r="G71" s="35">
        <f>G72+G76+G74</f>
        <v>7553.3040000000001</v>
      </c>
    </row>
    <row r="72" spans="1:8" s="29" customFormat="1" ht="25.5" x14ac:dyDescent="0.25">
      <c r="A72" s="36" t="s">
        <v>41</v>
      </c>
      <c r="B72" s="16"/>
      <c r="C72" s="16" t="s">
        <v>40</v>
      </c>
      <c r="D72" s="16" t="s">
        <v>205</v>
      </c>
      <c r="E72" s="16" t="s">
        <v>203</v>
      </c>
      <c r="F72" s="16" t="s">
        <v>174</v>
      </c>
      <c r="G72" s="35">
        <f>G73</f>
        <v>6990.1859999999997</v>
      </c>
    </row>
    <row r="73" spans="1:8" s="29" customFormat="1" ht="25.5" x14ac:dyDescent="0.25">
      <c r="A73" s="36" t="s">
        <v>175</v>
      </c>
      <c r="B73" s="16"/>
      <c r="C73" s="16" t="s">
        <v>40</v>
      </c>
      <c r="D73" s="16" t="s">
        <v>205</v>
      </c>
      <c r="E73" s="16" t="s">
        <v>203</v>
      </c>
      <c r="F73" s="16" t="s">
        <v>176</v>
      </c>
      <c r="G73" s="35">
        <f>50+10.3+595+240+97.426+7.612+92.559+92.559+277.667+966.499+1224.1+92.559+92.559+400+117.634+97.42+17.784+8.346+124.517-168.116-139-117.634+400+2410.395</f>
        <v>6990.1859999999997</v>
      </c>
      <c r="H73" s="44"/>
    </row>
    <row r="74" spans="1:8" s="29" customFormat="1" ht="13.5" x14ac:dyDescent="0.25">
      <c r="A74" s="36" t="s">
        <v>61</v>
      </c>
      <c r="B74" s="16"/>
      <c r="C74" s="16" t="s">
        <v>40</v>
      </c>
      <c r="D74" s="16" t="s">
        <v>205</v>
      </c>
      <c r="E74" s="16" t="s">
        <v>203</v>
      </c>
      <c r="F74" s="16" t="s">
        <v>233</v>
      </c>
      <c r="G74" s="35">
        <f>G75</f>
        <v>85</v>
      </c>
      <c r="H74" s="44"/>
    </row>
    <row r="75" spans="1:8" s="29" customFormat="1" ht="32.65" customHeight="1" x14ac:dyDescent="0.25">
      <c r="A75" s="36" t="s">
        <v>354</v>
      </c>
      <c r="B75" s="16"/>
      <c r="C75" s="16" t="s">
        <v>40</v>
      </c>
      <c r="D75" s="16" t="s">
        <v>205</v>
      </c>
      <c r="E75" s="16" t="s">
        <v>203</v>
      </c>
      <c r="F75" s="16" t="s">
        <v>353</v>
      </c>
      <c r="G75" s="35">
        <f>75+10</f>
        <v>85</v>
      </c>
      <c r="H75" s="44"/>
    </row>
    <row r="76" spans="1:8" s="29" customFormat="1" ht="18.399999999999999" customHeight="1" x14ac:dyDescent="0.25">
      <c r="A76" s="36" t="s">
        <v>43</v>
      </c>
      <c r="B76" s="16"/>
      <c r="C76" s="16" t="s">
        <v>40</v>
      </c>
      <c r="D76" s="16" t="s">
        <v>205</v>
      </c>
      <c r="E76" s="16" t="s">
        <v>203</v>
      </c>
      <c r="F76" s="16" t="s">
        <v>185</v>
      </c>
      <c r="G76" s="35">
        <f>G77+G78</f>
        <v>478.11799999999994</v>
      </c>
      <c r="H76" s="44"/>
    </row>
    <row r="77" spans="1:8" s="29" customFormat="1" ht="24" customHeight="1" x14ac:dyDescent="0.25">
      <c r="A77" s="36" t="s">
        <v>334</v>
      </c>
      <c r="B77" s="16"/>
      <c r="C77" s="16" t="s">
        <v>40</v>
      </c>
      <c r="D77" s="16" t="s">
        <v>205</v>
      </c>
      <c r="E77" s="16" t="s">
        <v>203</v>
      </c>
      <c r="F77" s="16" t="s">
        <v>333</v>
      </c>
      <c r="G77" s="35">
        <f>1332-124.517+1870.03-400-2410.395</f>
        <v>267.11799999999994</v>
      </c>
    </row>
    <row r="78" spans="1:8" s="29" customFormat="1" ht="18" customHeight="1" x14ac:dyDescent="0.25">
      <c r="A78" s="36" t="s">
        <v>186</v>
      </c>
      <c r="B78" s="16"/>
      <c r="C78" s="16" t="s">
        <v>40</v>
      </c>
      <c r="D78" s="16" t="s">
        <v>205</v>
      </c>
      <c r="E78" s="16" t="s">
        <v>203</v>
      </c>
      <c r="F78" s="16" t="s">
        <v>187</v>
      </c>
      <c r="G78" s="35">
        <f>261-50</f>
        <v>211</v>
      </c>
    </row>
    <row r="79" spans="1:8" s="29" customFormat="1" ht="48.75" customHeight="1" x14ac:dyDescent="0.25">
      <c r="A79" s="41" t="s">
        <v>250</v>
      </c>
      <c r="B79" s="19"/>
      <c r="C79" s="19" t="s">
        <v>40</v>
      </c>
      <c r="D79" s="19" t="s">
        <v>205</v>
      </c>
      <c r="E79" s="19" t="s">
        <v>207</v>
      </c>
      <c r="F79" s="19"/>
      <c r="G79" s="30">
        <f>G80</f>
        <v>142</v>
      </c>
    </row>
    <row r="80" spans="1:8" s="29" customFormat="1" ht="30.75" customHeight="1" x14ac:dyDescent="0.25">
      <c r="A80" s="42" t="s">
        <v>16</v>
      </c>
      <c r="B80" s="27"/>
      <c r="C80" s="32" t="s">
        <v>40</v>
      </c>
      <c r="D80" s="32" t="s">
        <v>205</v>
      </c>
      <c r="E80" s="32" t="s">
        <v>208</v>
      </c>
      <c r="F80" s="27"/>
      <c r="G80" s="33">
        <f>SUM(G81)</f>
        <v>142</v>
      </c>
    </row>
    <row r="81" spans="1:7" s="29" customFormat="1" ht="27.75" customHeight="1" x14ac:dyDescent="0.25">
      <c r="A81" s="43" t="s">
        <v>16</v>
      </c>
      <c r="B81" s="27"/>
      <c r="C81" s="16" t="s">
        <v>40</v>
      </c>
      <c r="D81" s="16" t="s">
        <v>205</v>
      </c>
      <c r="E81" s="16" t="s">
        <v>209</v>
      </c>
      <c r="F81" s="19"/>
      <c r="G81" s="35">
        <f>G82</f>
        <v>142</v>
      </c>
    </row>
    <row r="82" spans="1:7" s="29" customFormat="1" ht="54.75" customHeight="1" x14ac:dyDescent="0.25">
      <c r="A82" s="43" t="s">
        <v>520</v>
      </c>
      <c r="B82" s="27"/>
      <c r="C82" s="16" t="s">
        <v>40</v>
      </c>
      <c r="D82" s="16" t="s">
        <v>205</v>
      </c>
      <c r="E82" s="307" t="s">
        <v>521</v>
      </c>
      <c r="F82" s="16"/>
      <c r="G82" s="35">
        <f>G83</f>
        <v>142</v>
      </c>
    </row>
    <row r="83" spans="1:7" s="29" customFormat="1" ht="75" customHeight="1" x14ac:dyDescent="0.25">
      <c r="A83" s="246" t="s">
        <v>245</v>
      </c>
      <c r="B83" s="16"/>
      <c r="C83" s="16" t="s">
        <v>40</v>
      </c>
      <c r="D83" s="16" t="s">
        <v>205</v>
      </c>
      <c r="E83" s="307" t="s">
        <v>521</v>
      </c>
      <c r="F83" s="16" t="s">
        <v>181</v>
      </c>
      <c r="G83" s="35">
        <f>G84</f>
        <v>142</v>
      </c>
    </row>
    <row r="84" spans="1:7" s="29" customFormat="1" ht="40.5" customHeight="1" x14ac:dyDescent="0.25">
      <c r="A84" s="246" t="s">
        <v>182</v>
      </c>
      <c r="B84" s="16"/>
      <c r="C84" s="16" t="s">
        <v>40</v>
      </c>
      <c r="D84" s="16" t="s">
        <v>205</v>
      </c>
      <c r="E84" s="307" t="s">
        <v>521</v>
      </c>
      <c r="F84" s="16" t="s">
        <v>183</v>
      </c>
      <c r="G84" s="35">
        <v>142</v>
      </c>
    </row>
    <row r="85" spans="1:7" s="29" customFormat="1" ht="22.5" customHeight="1" x14ac:dyDescent="0.25">
      <c r="A85" s="45" t="s">
        <v>251</v>
      </c>
      <c r="B85" s="24"/>
      <c r="C85" s="46" t="s">
        <v>143</v>
      </c>
      <c r="D85" s="47"/>
      <c r="E85" s="24"/>
      <c r="F85" s="24"/>
      <c r="G85" s="25">
        <f t="shared" ref="G85:G93" si="0">G86</f>
        <v>1486.7</v>
      </c>
    </row>
    <row r="86" spans="1:7" s="29" customFormat="1" ht="13.5" x14ac:dyDescent="0.25">
      <c r="A86" s="48" t="s">
        <v>217</v>
      </c>
      <c r="B86" s="32"/>
      <c r="C86" s="49" t="s">
        <v>143</v>
      </c>
      <c r="D86" s="49" t="s">
        <v>64</v>
      </c>
      <c r="E86" s="27"/>
      <c r="F86" s="27"/>
      <c r="G86" s="28">
        <f t="shared" si="0"/>
        <v>1486.7</v>
      </c>
    </row>
    <row r="87" spans="1:7" s="29" customFormat="1" ht="38.25" x14ac:dyDescent="0.25">
      <c r="A87" s="50" t="s">
        <v>252</v>
      </c>
      <c r="B87" s="16"/>
      <c r="C87" s="51" t="s">
        <v>143</v>
      </c>
      <c r="D87" s="51" t="s">
        <v>64</v>
      </c>
      <c r="E87" s="19" t="s">
        <v>207</v>
      </c>
      <c r="F87" s="19"/>
      <c r="G87" s="30">
        <f t="shared" si="0"/>
        <v>1486.7</v>
      </c>
    </row>
    <row r="88" spans="1:7" s="29" customFormat="1" ht="13.5" x14ac:dyDescent="0.25">
      <c r="A88" s="42" t="s">
        <v>16</v>
      </c>
      <c r="B88" s="32"/>
      <c r="C88" s="52" t="s">
        <v>143</v>
      </c>
      <c r="D88" s="52" t="s">
        <v>64</v>
      </c>
      <c r="E88" s="32" t="s">
        <v>208</v>
      </c>
      <c r="F88" s="27"/>
      <c r="G88" s="33">
        <f t="shared" si="0"/>
        <v>1486.7</v>
      </c>
    </row>
    <row r="89" spans="1:7" s="29" customFormat="1" ht="13.5" x14ac:dyDescent="0.25">
      <c r="A89" s="43" t="s">
        <v>16</v>
      </c>
      <c r="B89" s="16"/>
      <c r="C89" s="53" t="s">
        <v>143</v>
      </c>
      <c r="D89" s="53" t="s">
        <v>64</v>
      </c>
      <c r="E89" s="16" t="s">
        <v>209</v>
      </c>
      <c r="F89" s="19"/>
      <c r="G89" s="35">
        <f t="shared" si="0"/>
        <v>1486.7</v>
      </c>
    </row>
    <row r="90" spans="1:7" s="29" customFormat="1" ht="25.5" x14ac:dyDescent="0.25">
      <c r="A90" s="34" t="s">
        <v>253</v>
      </c>
      <c r="B90" s="16"/>
      <c r="C90" s="16" t="s">
        <v>143</v>
      </c>
      <c r="D90" s="16" t="s">
        <v>64</v>
      </c>
      <c r="E90" s="16" t="s">
        <v>216</v>
      </c>
      <c r="F90" s="16"/>
      <c r="G90" s="35">
        <f>G91+G93</f>
        <v>1486.7</v>
      </c>
    </row>
    <row r="91" spans="1:7" s="29" customFormat="1" ht="63.75" x14ac:dyDescent="0.25">
      <c r="A91" s="36" t="s">
        <v>245</v>
      </c>
      <c r="B91" s="16"/>
      <c r="C91" s="16" t="s">
        <v>143</v>
      </c>
      <c r="D91" s="16" t="s">
        <v>64</v>
      </c>
      <c r="E91" s="16" t="s">
        <v>216</v>
      </c>
      <c r="F91" s="16" t="s">
        <v>181</v>
      </c>
      <c r="G91" s="35">
        <f t="shared" si="0"/>
        <v>1418.8</v>
      </c>
    </row>
    <row r="92" spans="1:7" s="29" customFormat="1" ht="25.5" x14ac:dyDescent="0.25">
      <c r="A92" s="36" t="s">
        <v>182</v>
      </c>
      <c r="B92" s="16"/>
      <c r="C92" s="16" t="s">
        <v>143</v>
      </c>
      <c r="D92" s="16" t="s">
        <v>64</v>
      </c>
      <c r="E92" s="16" t="s">
        <v>216</v>
      </c>
      <c r="F92" s="16" t="s">
        <v>183</v>
      </c>
      <c r="G92" s="35">
        <f>985.84+293.76+10.5+128.7</f>
        <v>1418.8</v>
      </c>
    </row>
    <row r="93" spans="1:7" s="29" customFormat="1" ht="25.5" x14ac:dyDescent="0.25">
      <c r="A93" s="128" t="s">
        <v>41</v>
      </c>
      <c r="B93" s="16"/>
      <c r="C93" s="16" t="s">
        <v>143</v>
      </c>
      <c r="D93" s="16" t="s">
        <v>64</v>
      </c>
      <c r="E93" s="16" t="s">
        <v>216</v>
      </c>
      <c r="F93" s="16" t="s">
        <v>174</v>
      </c>
      <c r="G93" s="35">
        <f t="shared" si="0"/>
        <v>67.900000000000006</v>
      </c>
    </row>
    <row r="94" spans="1:7" s="29" customFormat="1" ht="25.5" x14ac:dyDescent="0.25">
      <c r="A94" s="36" t="s">
        <v>175</v>
      </c>
      <c r="B94" s="16"/>
      <c r="C94" s="16" t="s">
        <v>143</v>
      </c>
      <c r="D94" s="16" t="s">
        <v>64</v>
      </c>
      <c r="E94" s="16" t="s">
        <v>216</v>
      </c>
      <c r="F94" s="16" t="s">
        <v>176</v>
      </c>
      <c r="G94" s="35">
        <f>2+25.9+20+20</f>
        <v>67.900000000000006</v>
      </c>
    </row>
    <row r="95" spans="1:7" s="55" customFormat="1" ht="27" x14ac:dyDescent="0.2">
      <c r="A95" s="22" t="s">
        <v>254</v>
      </c>
      <c r="B95" s="23"/>
      <c r="C95" s="23" t="s">
        <v>64</v>
      </c>
      <c r="D95" s="23"/>
      <c r="E95" s="23"/>
      <c r="F95" s="23"/>
      <c r="G95" s="54">
        <f>G96+G113</f>
        <v>2696.2150000000001</v>
      </c>
    </row>
    <row r="96" spans="1:7" s="29" customFormat="1" ht="44.45" customHeight="1" x14ac:dyDescent="0.25">
      <c r="A96" s="56" t="s">
        <v>107</v>
      </c>
      <c r="B96" s="57"/>
      <c r="C96" s="57" t="s">
        <v>64</v>
      </c>
      <c r="D96" s="57" t="s">
        <v>236</v>
      </c>
      <c r="E96" s="57"/>
      <c r="F96" s="57"/>
      <c r="G96" s="28">
        <f>G97+G107</f>
        <v>752.40000000000009</v>
      </c>
    </row>
    <row r="97" spans="1:7" s="21" customFormat="1" ht="38.25" x14ac:dyDescent="0.2">
      <c r="A97" s="58" t="s">
        <v>255</v>
      </c>
      <c r="B97" s="59"/>
      <c r="C97" s="59" t="s">
        <v>64</v>
      </c>
      <c r="D97" s="59" t="s">
        <v>236</v>
      </c>
      <c r="E97" s="59" t="s">
        <v>100</v>
      </c>
      <c r="F97" s="59"/>
      <c r="G97" s="30">
        <f>G98</f>
        <v>752.40000000000009</v>
      </c>
    </row>
    <row r="98" spans="1:7" s="17" customFormat="1" ht="63.75" x14ac:dyDescent="0.2">
      <c r="A98" s="60" t="s">
        <v>101</v>
      </c>
      <c r="B98" s="61"/>
      <c r="C98" s="61" t="s">
        <v>64</v>
      </c>
      <c r="D98" s="61" t="s">
        <v>236</v>
      </c>
      <c r="E98" s="61" t="s">
        <v>102</v>
      </c>
      <c r="F98" s="61"/>
      <c r="G98" s="33">
        <f>SUM(G99+G103)</f>
        <v>752.40000000000009</v>
      </c>
    </row>
    <row r="99" spans="1:7" s="17" customFormat="1" ht="38.25" x14ac:dyDescent="0.2">
      <c r="A99" s="43" t="s">
        <v>103</v>
      </c>
      <c r="B99" s="61"/>
      <c r="C99" s="39" t="s">
        <v>64</v>
      </c>
      <c r="D99" s="39" t="s">
        <v>236</v>
      </c>
      <c r="E99" s="39" t="s">
        <v>104</v>
      </c>
      <c r="F99" s="61"/>
      <c r="G99" s="35">
        <f>SUM(G100)</f>
        <v>141.99999999999997</v>
      </c>
    </row>
    <row r="100" spans="1:7" s="17" customFormat="1" ht="25.5" x14ac:dyDescent="0.2">
      <c r="A100" s="43" t="s">
        <v>256</v>
      </c>
      <c r="B100" s="39"/>
      <c r="C100" s="39" t="s">
        <v>64</v>
      </c>
      <c r="D100" s="39" t="s">
        <v>236</v>
      </c>
      <c r="E100" s="39" t="s">
        <v>257</v>
      </c>
      <c r="F100" s="39"/>
      <c r="G100" s="35">
        <f>G102</f>
        <v>141.99999999999997</v>
      </c>
    </row>
    <row r="101" spans="1:7" s="17" customFormat="1" ht="25.5" x14ac:dyDescent="0.2">
      <c r="A101" s="36" t="s">
        <v>41</v>
      </c>
      <c r="B101" s="39"/>
      <c r="C101" s="39" t="s">
        <v>64</v>
      </c>
      <c r="D101" s="39" t="s">
        <v>236</v>
      </c>
      <c r="E101" s="39" t="s">
        <v>257</v>
      </c>
      <c r="F101" s="39" t="s">
        <v>174</v>
      </c>
      <c r="G101" s="35">
        <f>G102</f>
        <v>141.99999999999997</v>
      </c>
    </row>
    <row r="102" spans="1:7" s="17" customFormat="1" ht="25.5" x14ac:dyDescent="0.2">
      <c r="A102" s="62" t="s">
        <v>175</v>
      </c>
      <c r="B102" s="39"/>
      <c r="C102" s="39" t="s">
        <v>64</v>
      </c>
      <c r="D102" s="39" t="s">
        <v>236</v>
      </c>
      <c r="E102" s="39" t="s">
        <v>257</v>
      </c>
      <c r="F102" s="39" t="s">
        <v>176</v>
      </c>
      <c r="G102" s="35">
        <f>110+102.4+70-30.4-70-40</f>
        <v>141.99999999999997</v>
      </c>
    </row>
    <row r="103" spans="1:7" s="17" customFormat="1" ht="25.5" x14ac:dyDescent="0.2">
      <c r="A103" s="43" t="s">
        <v>109</v>
      </c>
      <c r="B103" s="39"/>
      <c r="C103" s="39" t="s">
        <v>64</v>
      </c>
      <c r="D103" s="39" t="s">
        <v>236</v>
      </c>
      <c r="E103" s="39" t="s">
        <v>110</v>
      </c>
      <c r="F103" s="39"/>
      <c r="G103" s="35">
        <f>SUM(G104)</f>
        <v>610.40000000000009</v>
      </c>
    </row>
    <row r="104" spans="1:7" s="17" customFormat="1" ht="12.75" x14ac:dyDescent="0.2">
      <c r="A104" s="43" t="s">
        <v>111</v>
      </c>
      <c r="B104" s="39"/>
      <c r="C104" s="39" t="s">
        <v>64</v>
      </c>
      <c r="D104" s="39" t="s">
        <v>236</v>
      </c>
      <c r="E104" s="39" t="s">
        <v>112</v>
      </c>
      <c r="F104" s="39"/>
      <c r="G104" s="35">
        <f>G106</f>
        <v>610.40000000000009</v>
      </c>
    </row>
    <row r="105" spans="1:7" s="17" customFormat="1" ht="25.5" x14ac:dyDescent="0.2">
      <c r="A105" s="36" t="s">
        <v>41</v>
      </c>
      <c r="B105" s="39"/>
      <c r="C105" s="39" t="s">
        <v>64</v>
      </c>
      <c r="D105" s="39" t="s">
        <v>236</v>
      </c>
      <c r="E105" s="39" t="s">
        <v>112</v>
      </c>
      <c r="F105" s="39" t="s">
        <v>174</v>
      </c>
      <c r="G105" s="35">
        <f>G106</f>
        <v>610.40000000000009</v>
      </c>
    </row>
    <row r="106" spans="1:7" s="17" customFormat="1" ht="25.15" customHeight="1" x14ac:dyDescent="0.2">
      <c r="A106" s="62" t="s">
        <v>175</v>
      </c>
      <c r="B106" s="39"/>
      <c r="C106" s="39" t="s">
        <v>64</v>
      </c>
      <c r="D106" s="39" t="s">
        <v>236</v>
      </c>
      <c r="E106" s="39" t="s">
        <v>112</v>
      </c>
      <c r="F106" s="39" t="s">
        <v>176</v>
      </c>
      <c r="G106" s="35">
        <f>120+880+350+30.4+70+40-880</f>
        <v>610.40000000000009</v>
      </c>
    </row>
    <row r="107" spans="1:7" s="17" customFormat="1" ht="0.75" hidden="1" customHeight="1" x14ac:dyDescent="0.2">
      <c r="A107" s="41" t="s">
        <v>250</v>
      </c>
      <c r="B107" s="19"/>
      <c r="C107" s="19" t="s">
        <v>64</v>
      </c>
      <c r="D107" s="19" t="s">
        <v>108</v>
      </c>
      <c r="E107" s="19" t="s">
        <v>207</v>
      </c>
      <c r="F107" s="19"/>
      <c r="G107" s="30">
        <f>G108</f>
        <v>0</v>
      </c>
    </row>
    <row r="108" spans="1:7" s="17" customFormat="1" ht="13.5" hidden="1" x14ac:dyDescent="0.2">
      <c r="A108" s="42" t="s">
        <v>16</v>
      </c>
      <c r="B108" s="27"/>
      <c r="C108" s="32" t="s">
        <v>64</v>
      </c>
      <c r="D108" s="32" t="s">
        <v>108</v>
      </c>
      <c r="E108" s="32" t="s">
        <v>208</v>
      </c>
      <c r="F108" s="27"/>
      <c r="G108" s="33">
        <f>SUM(G109)</f>
        <v>0</v>
      </c>
    </row>
    <row r="109" spans="1:7" s="17" customFormat="1" ht="13.5" hidden="1" x14ac:dyDescent="0.2">
      <c r="A109" s="43" t="s">
        <v>16</v>
      </c>
      <c r="B109" s="27"/>
      <c r="C109" s="16" t="s">
        <v>64</v>
      </c>
      <c r="D109" s="16" t="s">
        <v>108</v>
      </c>
      <c r="E109" s="16" t="s">
        <v>209</v>
      </c>
      <c r="F109" s="19"/>
      <c r="G109" s="35">
        <f>G110</f>
        <v>0</v>
      </c>
    </row>
    <row r="110" spans="1:7" s="17" customFormat="1" ht="25.5" hidden="1" x14ac:dyDescent="0.2">
      <c r="A110" s="43" t="s">
        <v>256</v>
      </c>
      <c r="B110" s="27"/>
      <c r="C110" s="16" t="s">
        <v>64</v>
      </c>
      <c r="D110" s="16" t="s">
        <v>108</v>
      </c>
      <c r="E110" s="16" t="s">
        <v>342</v>
      </c>
      <c r="F110" s="16"/>
      <c r="G110" s="35">
        <f>G111</f>
        <v>0</v>
      </c>
    </row>
    <row r="111" spans="1:7" s="17" customFormat="1" ht="12.75" hidden="1" x14ac:dyDescent="0.2">
      <c r="A111" s="36" t="s">
        <v>43</v>
      </c>
      <c r="B111" s="16"/>
      <c r="C111" s="16" t="s">
        <v>64</v>
      </c>
      <c r="D111" s="16" t="s">
        <v>108</v>
      </c>
      <c r="E111" s="16" t="s">
        <v>342</v>
      </c>
      <c r="F111" s="39" t="s">
        <v>185</v>
      </c>
      <c r="G111" s="35">
        <f>G112</f>
        <v>0</v>
      </c>
    </row>
    <row r="112" spans="1:7" s="17" customFormat="1" ht="12.75" hidden="1" x14ac:dyDescent="0.2">
      <c r="A112" s="36" t="s">
        <v>186</v>
      </c>
      <c r="B112" s="16"/>
      <c r="C112" s="16" t="s">
        <v>64</v>
      </c>
      <c r="D112" s="16" t="s">
        <v>108</v>
      </c>
      <c r="E112" s="16" t="s">
        <v>342</v>
      </c>
      <c r="F112" s="39" t="s">
        <v>187</v>
      </c>
      <c r="G112" s="35">
        <v>0</v>
      </c>
    </row>
    <row r="113" spans="1:7" s="178" customFormat="1" ht="40.15" customHeight="1" x14ac:dyDescent="0.2">
      <c r="A113" s="56" t="s">
        <v>304</v>
      </c>
      <c r="B113" s="57"/>
      <c r="C113" s="57" t="s">
        <v>64</v>
      </c>
      <c r="D113" s="57" t="s">
        <v>305</v>
      </c>
      <c r="E113" s="57"/>
      <c r="F113" s="57"/>
      <c r="G113" s="28">
        <f>G114</f>
        <v>1943.8150000000001</v>
      </c>
    </row>
    <row r="114" spans="1:7" s="178" customFormat="1" ht="38.25" x14ac:dyDescent="0.2">
      <c r="A114" s="58" t="s">
        <v>12</v>
      </c>
      <c r="B114" s="59"/>
      <c r="C114" s="59" t="s">
        <v>64</v>
      </c>
      <c r="D114" s="59" t="s">
        <v>305</v>
      </c>
      <c r="E114" s="59" t="s">
        <v>13</v>
      </c>
      <c r="F114" s="59"/>
      <c r="G114" s="30">
        <f>SUM(G116)</f>
        <v>1943.8150000000001</v>
      </c>
    </row>
    <row r="115" spans="1:7" s="178" customFormat="1" ht="51" x14ac:dyDescent="0.2">
      <c r="A115" s="60" t="s">
        <v>308</v>
      </c>
      <c r="B115" s="61"/>
      <c r="C115" s="61" t="s">
        <v>64</v>
      </c>
      <c r="D115" s="61" t="s">
        <v>305</v>
      </c>
      <c r="E115" s="61" t="s">
        <v>15</v>
      </c>
      <c r="F115" s="61"/>
      <c r="G115" s="33">
        <f>SUM(G116)</f>
        <v>1943.8150000000001</v>
      </c>
    </row>
    <row r="116" spans="1:7" s="178" customFormat="1" ht="12.75" x14ac:dyDescent="0.2">
      <c r="A116" s="43" t="s">
        <v>16</v>
      </c>
      <c r="B116" s="61"/>
      <c r="C116" s="39" t="s">
        <v>64</v>
      </c>
      <c r="D116" s="39" t="s">
        <v>305</v>
      </c>
      <c r="E116" s="39" t="s">
        <v>17</v>
      </c>
      <c r="F116" s="61"/>
      <c r="G116" s="35">
        <f>SUM(G117+G122)</f>
        <v>1943.8150000000001</v>
      </c>
    </row>
    <row r="117" spans="1:7" s="178" customFormat="1" ht="51" x14ac:dyDescent="0.2">
      <c r="A117" s="43" t="s">
        <v>302</v>
      </c>
      <c r="B117" s="39"/>
      <c r="C117" s="39" t="s">
        <v>64</v>
      </c>
      <c r="D117" s="39" t="s">
        <v>305</v>
      </c>
      <c r="E117" s="39" t="s">
        <v>303</v>
      </c>
      <c r="F117" s="39"/>
      <c r="G117" s="35">
        <f>G118+G120</f>
        <v>1933.2550000000001</v>
      </c>
    </row>
    <row r="118" spans="1:7" s="178" customFormat="1" ht="63.75" x14ac:dyDescent="0.2">
      <c r="A118" s="36" t="s">
        <v>245</v>
      </c>
      <c r="B118" s="39"/>
      <c r="C118" s="39" t="s">
        <v>64</v>
      </c>
      <c r="D118" s="39" t="s">
        <v>305</v>
      </c>
      <c r="E118" s="39" t="s">
        <v>303</v>
      </c>
      <c r="F118" s="39" t="s">
        <v>181</v>
      </c>
      <c r="G118" s="35">
        <f>G119</f>
        <v>1836.335</v>
      </c>
    </row>
    <row r="119" spans="1:7" s="178" customFormat="1" ht="25.5" x14ac:dyDescent="0.2">
      <c r="A119" s="62" t="s">
        <v>182</v>
      </c>
      <c r="B119" s="39"/>
      <c r="C119" s="39" t="s">
        <v>64</v>
      </c>
      <c r="D119" s="39" t="s">
        <v>305</v>
      </c>
      <c r="E119" s="39" t="s">
        <v>303</v>
      </c>
      <c r="F119" s="39" t="s">
        <v>183</v>
      </c>
      <c r="G119" s="35">
        <f>1391.388+435.947+9</f>
        <v>1836.335</v>
      </c>
    </row>
    <row r="120" spans="1:7" s="178" customFormat="1" ht="25.5" x14ac:dyDescent="0.2">
      <c r="A120" s="43" t="s">
        <v>41</v>
      </c>
      <c r="B120" s="39"/>
      <c r="C120" s="39" t="s">
        <v>64</v>
      </c>
      <c r="D120" s="39" t="s">
        <v>305</v>
      </c>
      <c r="E120" s="39" t="s">
        <v>303</v>
      </c>
      <c r="F120" s="39" t="s">
        <v>174</v>
      </c>
      <c r="G120" s="35">
        <f>G121</f>
        <v>96.919999999999987</v>
      </c>
    </row>
    <row r="121" spans="1:7" s="178" customFormat="1" ht="25.5" x14ac:dyDescent="0.2">
      <c r="A121" s="43" t="s">
        <v>175</v>
      </c>
      <c r="B121" s="39"/>
      <c r="C121" s="39" t="s">
        <v>64</v>
      </c>
      <c r="D121" s="39" t="s">
        <v>305</v>
      </c>
      <c r="E121" s="39" t="s">
        <v>303</v>
      </c>
      <c r="F121" s="39" t="s">
        <v>176</v>
      </c>
      <c r="G121" s="35">
        <f>15.76+12.405+15+53.5+0.3-0.045</f>
        <v>96.919999999999987</v>
      </c>
    </row>
    <row r="122" spans="1:7" s="178" customFormat="1" ht="51.6" customHeight="1" x14ac:dyDescent="0.2">
      <c r="A122" s="36" t="s">
        <v>309</v>
      </c>
      <c r="B122" s="39"/>
      <c r="C122" s="39" t="s">
        <v>64</v>
      </c>
      <c r="D122" s="39" t="s">
        <v>305</v>
      </c>
      <c r="E122" s="39" t="s">
        <v>307</v>
      </c>
      <c r="F122" s="39"/>
      <c r="G122" s="35">
        <f>G123+G125</f>
        <v>10.559999999999999</v>
      </c>
    </row>
    <row r="123" spans="1:7" s="178" customFormat="1" ht="0.75" hidden="1" customHeight="1" x14ac:dyDescent="0.2">
      <c r="A123" s="62" t="s">
        <v>245</v>
      </c>
      <c r="B123" s="39"/>
      <c r="C123" s="39" t="s">
        <v>64</v>
      </c>
      <c r="D123" s="39" t="s">
        <v>305</v>
      </c>
      <c r="E123" s="39" t="s">
        <v>307</v>
      </c>
      <c r="F123" s="39" t="s">
        <v>181</v>
      </c>
      <c r="G123" s="35">
        <f>G124</f>
        <v>0</v>
      </c>
    </row>
    <row r="124" spans="1:7" s="178" customFormat="1" ht="25.5" hidden="1" x14ac:dyDescent="0.2">
      <c r="A124" s="43" t="s">
        <v>182</v>
      </c>
      <c r="B124" s="61"/>
      <c r="C124" s="39" t="s">
        <v>64</v>
      </c>
      <c r="D124" s="39" t="s">
        <v>305</v>
      </c>
      <c r="E124" s="39" t="s">
        <v>307</v>
      </c>
      <c r="F124" s="61" t="s">
        <v>183</v>
      </c>
      <c r="G124" s="35">
        <v>0</v>
      </c>
    </row>
    <row r="125" spans="1:7" s="178" customFormat="1" ht="35.450000000000003" customHeight="1" x14ac:dyDescent="0.2">
      <c r="A125" s="43" t="s">
        <v>41</v>
      </c>
      <c r="B125" s="39"/>
      <c r="C125" s="39" t="s">
        <v>64</v>
      </c>
      <c r="D125" s="39" t="s">
        <v>305</v>
      </c>
      <c r="E125" s="39" t="s">
        <v>307</v>
      </c>
      <c r="F125" s="39" t="s">
        <v>174</v>
      </c>
      <c r="G125" s="35">
        <f>G126</f>
        <v>10.559999999999999</v>
      </c>
    </row>
    <row r="126" spans="1:7" s="178" customFormat="1" ht="32.65" customHeight="1" x14ac:dyDescent="0.2">
      <c r="A126" s="36" t="s">
        <v>175</v>
      </c>
      <c r="B126" s="39"/>
      <c r="C126" s="39" t="s">
        <v>64</v>
      </c>
      <c r="D126" s="39" t="s">
        <v>305</v>
      </c>
      <c r="E126" s="39" t="s">
        <v>307</v>
      </c>
      <c r="F126" s="39" t="s">
        <v>176</v>
      </c>
      <c r="G126" s="35">
        <f>10.7-0.14</f>
        <v>10.559999999999999</v>
      </c>
    </row>
    <row r="127" spans="1:7" s="17" customFormat="1" ht="24.75" customHeight="1" x14ac:dyDescent="0.2">
      <c r="A127" s="22" t="s">
        <v>258</v>
      </c>
      <c r="B127" s="23"/>
      <c r="C127" s="23" t="s">
        <v>52</v>
      </c>
      <c r="D127" s="23"/>
      <c r="E127" s="23"/>
      <c r="F127" s="23"/>
      <c r="G127" s="54">
        <f>G134</f>
        <v>30590.540999999997</v>
      </c>
    </row>
    <row r="128" spans="1:7" s="17" customFormat="1" ht="0.75" customHeight="1" x14ac:dyDescent="0.2">
      <c r="A128" s="26" t="s">
        <v>448</v>
      </c>
      <c r="B128" s="27"/>
      <c r="C128" s="27" t="s">
        <v>52</v>
      </c>
      <c r="D128" s="27" t="s">
        <v>142</v>
      </c>
      <c r="E128" s="27"/>
      <c r="F128" s="27"/>
      <c r="G128" s="28">
        <f>G129</f>
        <v>0</v>
      </c>
    </row>
    <row r="129" spans="1:7" s="17" customFormat="1" ht="24.75" hidden="1" customHeight="1" x14ac:dyDescent="0.2">
      <c r="A129" s="18" t="s">
        <v>268</v>
      </c>
      <c r="B129" s="27"/>
      <c r="C129" s="27" t="s">
        <v>52</v>
      </c>
      <c r="D129" s="27" t="s">
        <v>142</v>
      </c>
      <c r="E129" s="27" t="s">
        <v>147</v>
      </c>
      <c r="F129" s="27"/>
      <c r="G129" s="28">
        <f>G130</f>
        <v>0</v>
      </c>
    </row>
    <row r="130" spans="1:7" s="17" customFormat="1" ht="21" hidden="1" customHeight="1" x14ac:dyDescent="0.2">
      <c r="A130" s="31" t="s">
        <v>148</v>
      </c>
      <c r="B130" s="27"/>
      <c r="C130" s="32" t="s">
        <v>449</v>
      </c>
      <c r="D130" s="32" t="s">
        <v>142</v>
      </c>
      <c r="E130" s="32" t="s">
        <v>149</v>
      </c>
      <c r="F130" s="27"/>
      <c r="G130" s="33">
        <f>G131</f>
        <v>0</v>
      </c>
    </row>
    <row r="131" spans="1:7" s="17" customFormat="1" ht="25.5" hidden="1" x14ac:dyDescent="0.2">
      <c r="A131" s="34" t="s">
        <v>450</v>
      </c>
      <c r="B131" s="16"/>
      <c r="C131" s="16" t="s">
        <v>52</v>
      </c>
      <c r="D131" s="16" t="s">
        <v>142</v>
      </c>
      <c r="E131" s="16" t="s">
        <v>451</v>
      </c>
      <c r="F131" s="27"/>
      <c r="G131" s="35">
        <f>G132</f>
        <v>0</v>
      </c>
    </row>
    <row r="132" spans="1:7" s="17" customFormat="1" ht="16.5" hidden="1" customHeight="1" x14ac:dyDescent="0.2">
      <c r="A132" s="36" t="s">
        <v>41</v>
      </c>
      <c r="B132" s="16"/>
      <c r="C132" s="16" t="s">
        <v>52</v>
      </c>
      <c r="D132" s="16" t="s">
        <v>142</v>
      </c>
      <c r="E132" s="16" t="s">
        <v>451</v>
      </c>
      <c r="F132" s="16" t="s">
        <v>174</v>
      </c>
      <c r="G132" s="35">
        <f>G133</f>
        <v>0</v>
      </c>
    </row>
    <row r="133" spans="1:7" s="17" customFormat="1" ht="20.25" hidden="1" customHeight="1" x14ac:dyDescent="0.2">
      <c r="A133" s="36" t="s">
        <v>175</v>
      </c>
      <c r="B133" s="27"/>
      <c r="C133" s="16" t="s">
        <v>52</v>
      </c>
      <c r="D133" s="16" t="s">
        <v>142</v>
      </c>
      <c r="E133" s="16" t="s">
        <v>451</v>
      </c>
      <c r="F133" s="16" t="s">
        <v>176</v>
      </c>
      <c r="G133" s="35">
        <v>0</v>
      </c>
    </row>
    <row r="134" spans="1:7" s="17" customFormat="1" ht="13.5" x14ac:dyDescent="0.2">
      <c r="A134" s="26" t="s">
        <v>121</v>
      </c>
      <c r="B134" s="27"/>
      <c r="C134" s="27" t="s">
        <v>52</v>
      </c>
      <c r="D134" s="27" t="s">
        <v>108</v>
      </c>
      <c r="E134" s="27"/>
      <c r="F134" s="27"/>
      <c r="G134" s="28">
        <f>G135+G176</f>
        <v>30590.540999999997</v>
      </c>
    </row>
    <row r="135" spans="1:7" s="17" customFormat="1" ht="38.25" x14ac:dyDescent="0.2">
      <c r="A135" s="18" t="s">
        <v>259</v>
      </c>
      <c r="B135" s="19"/>
      <c r="C135" s="19" t="s">
        <v>52</v>
      </c>
      <c r="D135" s="19" t="s">
        <v>108</v>
      </c>
      <c r="E135" s="19" t="s">
        <v>114</v>
      </c>
      <c r="F135" s="16"/>
      <c r="G135" s="30">
        <f>G136</f>
        <v>28642.194999999996</v>
      </c>
    </row>
    <row r="136" spans="1:7" s="17" customFormat="1" ht="38.25" x14ac:dyDescent="0.2">
      <c r="A136" s="31" t="s">
        <v>115</v>
      </c>
      <c r="B136" s="32"/>
      <c r="C136" s="32" t="s">
        <v>52</v>
      </c>
      <c r="D136" s="32" t="s">
        <v>108</v>
      </c>
      <c r="E136" s="32" t="s">
        <v>116</v>
      </c>
      <c r="F136" s="32"/>
      <c r="G136" s="33">
        <f>G137+G154</f>
        <v>28642.194999999996</v>
      </c>
    </row>
    <row r="137" spans="1:7" s="17" customFormat="1" ht="63.75" x14ac:dyDescent="0.2">
      <c r="A137" s="34" t="s">
        <v>117</v>
      </c>
      <c r="B137" s="16"/>
      <c r="C137" s="16" t="s">
        <v>52</v>
      </c>
      <c r="D137" s="16" t="s">
        <v>108</v>
      </c>
      <c r="E137" s="16" t="s">
        <v>118</v>
      </c>
      <c r="F137" s="16"/>
      <c r="G137" s="35">
        <f>G138+G141+G144+G147+G150</f>
        <v>27992.194999999996</v>
      </c>
    </row>
    <row r="138" spans="1:7" s="17" customFormat="1" ht="22.5" customHeight="1" x14ac:dyDescent="0.2">
      <c r="A138" s="34" t="s">
        <v>119</v>
      </c>
      <c r="B138" s="16"/>
      <c r="C138" s="16" t="s">
        <v>52</v>
      </c>
      <c r="D138" s="16" t="s">
        <v>108</v>
      </c>
      <c r="E138" s="16" t="s">
        <v>120</v>
      </c>
      <c r="F138" s="16"/>
      <c r="G138" s="35">
        <f>SUM(G140)</f>
        <v>835.0139999999999</v>
      </c>
    </row>
    <row r="139" spans="1:7" s="17" customFormat="1" ht="25.5" x14ac:dyDescent="0.2">
      <c r="A139" s="36" t="s">
        <v>41</v>
      </c>
      <c r="B139" s="16"/>
      <c r="C139" s="16" t="s">
        <v>52</v>
      </c>
      <c r="D139" s="16" t="s">
        <v>108</v>
      </c>
      <c r="E139" s="16" t="s">
        <v>120</v>
      </c>
      <c r="F139" s="16" t="s">
        <v>174</v>
      </c>
      <c r="G139" s="35">
        <f>G140</f>
        <v>835.0139999999999</v>
      </c>
    </row>
    <row r="140" spans="1:7" s="17" customFormat="1" ht="25.5" x14ac:dyDescent="0.2">
      <c r="A140" s="36" t="s">
        <v>175</v>
      </c>
      <c r="B140" s="16"/>
      <c r="C140" s="16" t="s">
        <v>52</v>
      </c>
      <c r="D140" s="16" t="s">
        <v>108</v>
      </c>
      <c r="E140" s="16" t="s">
        <v>120</v>
      </c>
      <c r="F140" s="16" t="s">
        <v>176</v>
      </c>
      <c r="G140" s="35">
        <f>205.031+629.983</f>
        <v>835.0139999999999</v>
      </c>
    </row>
    <row r="141" spans="1:7" s="17" customFormat="1" ht="25.5" x14ac:dyDescent="0.2">
      <c r="A141" s="34" t="s">
        <v>122</v>
      </c>
      <c r="B141" s="16"/>
      <c r="C141" s="16" t="s">
        <v>52</v>
      </c>
      <c r="D141" s="16" t="s">
        <v>108</v>
      </c>
      <c r="E141" s="16" t="s">
        <v>123</v>
      </c>
      <c r="F141" s="16"/>
      <c r="G141" s="35">
        <f>G142</f>
        <v>5818.1569999999992</v>
      </c>
    </row>
    <row r="142" spans="1:7" s="17" customFormat="1" ht="25.5" x14ac:dyDescent="0.2">
      <c r="A142" s="36" t="s">
        <v>41</v>
      </c>
      <c r="B142" s="16"/>
      <c r="C142" s="16" t="s">
        <v>52</v>
      </c>
      <c r="D142" s="16" t="s">
        <v>108</v>
      </c>
      <c r="E142" s="16" t="s">
        <v>123</v>
      </c>
      <c r="F142" s="16" t="s">
        <v>174</v>
      </c>
      <c r="G142" s="35">
        <f>G143</f>
        <v>5818.1569999999992</v>
      </c>
    </row>
    <row r="143" spans="1:7" s="17" customFormat="1" ht="25.5" x14ac:dyDescent="0.2">
      <c r="A143" s="36" t="s">
        <v>175</v>
      </c>
      <c r="B143" s="16"/>
      <c r="C143" s="16" t="s">
        <v>52</v>
      </c>
      <c r="D143" s="16" t="s">
        <v>108</v>
      </c>
      <c r="E143" s="16" t="s">
        <v>123</v>
      </c>
      <c r="F143" s="16" t="s">
        <v>176</v>
      </c>
      <c r="G143" s="35">
        <f>250+337.538+1804.15+2704.346+1208.23+389.628-725.735-150</f>
        <v>5818.1569999999992</v>
      </c>
    </row>
    <row r="144" spans="1:7" s="17" customFormat="1" ht="51" x14ac:dyDescent="0.2">
      <c r="A144" s="34" t="s">
        <v>124</v>
      </c>
      <c r="B144" s="16"/>
      <c r="C144" s="16" t="s">
        <v>52</v>
      </c>
      <c r="D144" s="16" t="s">
        <v>108</v>
      </c>
      <c r="E144" s="16" t="s">
        <v>125</v>
      </c>
      <c r="F144" s="16"/>
      <c r="G144" s="35">
        <f>G145</f>
        <v>8467.2849999999999</v>
      </c>
    </row>
    <row r="145" spans="1:8" s="17" customFormat="1" ht="25.5" x14ac:dyDescent="0.2">
      <c r="A145" s="36" t="s">
        <v>41</v>
      </c>
      <c r="B145" s="16"/>
      <c r="C145" s="16" t="s">
        <v>52</v>
      </c>
      <c r="D145" s="16" t="s">
        <v>108</v>
      </c>
      <c r="E145" s="16" t="s">
        <v>125</v>
      </c>
      <c r="F145" s="16" t="s">
        <v>174</v>
      </c>
      <c r="G145" s="35">
        <f>G146</f>
        <v>8467.2849999999999</v>
      </c>
    </row>
    <row r="146" spans="1:8" s="17" customFormat="1" ht="25.5" x14ac:dyDescent="0.2">
      <c r="A146" s="36" t="s">
        <v>175</v>
      </c>
      <c r="B146" s="16"/>
      <c r="C146" s="16" t="s">
        <v>52</v>
      </c>
      <c r="D146" s="16" t="s">
        <v>108</v>
      </c>
      <c r="E146" s="16" t="s">
        <v>125</v>
      </c>
      <c r="F146" s="16" t="s">
        <v>176</v>
      </c>
      <c r="G146" s="35">
        <f>100+200+1133.45+2948.191+3327.139+1942.8-1174.295-10</f>
        <v>8467.2849999999999</v>
      </c>
    </row>
    <row r="147" spans="1:8" s="17" customFormat="1" ht="25.5" x14ac:dyDescent="0.2">
      <c r="A147" s="34" t="s">
        <v>127</v>
      </c>
      <c r="B147" s="16"/>
      <c r="C147" s="16" t="s">
        <v>52</v>
      </c>
      <c r="D147" s="16" t="s">
        <v>108</v>
      </c>
      <c r="E147" s="16" t="s">
        <v>126</v>
      </c>
      <c r="F147" s="16"/>
      <c r="G147" s="35">
        <f>G148</f>
        <v>2884.5989999999997</v>
      </c>
    </row>
    <row r="148" spans="1:8" s="17" customFormat="1" ht="25.5" x14ac:dyDescent="0.2">
      <c r="A148" s="36" t="s">
        <v>41</v>
      </c>
      <c r="B148" s="16"/>
      <c r="C148" s="16" t="s">
        <v>52</v>
      </c>
      <c r="D148" s="16" t="s">
        <v>108</v>
      </c>
      <c r="E148" s="16" t="s">
        <v>126</v>
      </c>
      <c r="F148" s="16" t="s">
        <v>174</v>
      </c>
      <c r="G148" s="35">
        <f>G149</f>
        <v>2884.5989999999997</v>
      </c>
    </row>
    <row r="149" spans="1:8" s="17" customFormat="1" ht="31.5" customHeight="1" x14ac:dyDescent="0.2">
      <c r="A149" s="36" t="s">
        <v>175</v>
      </c>
      <c r="B149" s="16"/>
      <c r="C149" s="16" t="s">
        <v>52</v>
      </c>
      <c r="D149" s="16" t="s">
        <v>108</v>
      </c>
      <c r="E149" s="16" t="s">
        <v>126</v>
      </c>
      <c r="F149" s="16" t="s">
        <v>176</v>
      </c>
      <c r="G149" s="35">
        <f>1124.977+1253.5+1545.75-389.628-650</f>
        <v>2884.5989999999997</v>
      </c>
    </row>
    <row r="150" spans="1:8" s="17" customFormat="1" ht="39" customHeight="1" x14ac:dyDescent="0.2">
      <c r="A150" s="62" t="s">
        <v>499</v>
      </c>
      <c r="B150" s="301"/>
      <c r="C150" s="69" t="s">
        <v>52</v>
      </c>
      <c r="D150" s="69" t="s">
        <v>108</v>
      </c>
      <c r="E150" s="301" t="s">
        <v>498</v>
      </c>
      <c r="F150" s="301"/>
      <c r="G150" s="35">
        <f>G151</f>
        <v>9987.14</v>
      </c>
    </row>
    <row r="151" spans="1:8" s="17" customFormat="1" ht="81.75" customHeight="1" x14ac:dyDescent="0.2">
      <c r="A151" s="34" t="s">
        <v>501</v>
      </c>
      <c r="B151" s="27"/>
      <c r="C151" s="301" t="s">
        <v>52</v>
      </c>
      <c r="D151" s="301" t="s">
        <v>108</v>
      </c>
      <c r="E151" s="301" t="s">
        <v>497</v>
      </c>
      <c r="F151" s="301"/>
      <c r="G151" s="35">
        <f>G152</f>
        <v>9987.14</v>
      </c>
    </row>
    <row r="152" spans="1:8" s="17" customFormat="1" ht="36" customHeight="1" x14ac:dyDescent="0.2">
      <c r="A152" s="36" t="s">
        <v>41</v>
      </c>
      <c r="B152" s="301"/>
      <c r="C152" s="301" t="s">
        <v>52</v>
      </c>
      <c r="D152" s="301" t="s">
        <v>108</v>
      </c>
      <c r="E152" s="301" t="s">
        <v>497</v>
      </c>
      <c r="F152" s="301" t="s">
        <v>174</v>
      </c>
      <c r="G152" s="35">
        <f>G153</f>
        <v>9987.14</v>
      </c>
    </row>
    <row r="153" spans="1:8" s="17" customFormat="1" ht="31.5" customHeight="1" x14ac:dyDescent="0.2">
      <c r="A153" s="36" t="s">
        <v>175</v>
      </c>
      <c r="B153" s="301"/>
      <c r="C153" s="301" t="s">
        <v>52</v>
      </c>
      <c r="D153" s="301" t="s">
        <v>108</v>
      </c>
      <c r="E153" s="301" t="s">
        <v>497</v>
      </c>
      <c r="F153" s="301" t="s">
        <v>176</v>
      </c>
      <c r="G153" s="35">
        <f>12748.382-2718.463-42.779</f>
        <v>9987.14</v>
      </c>
    </row>
    <row r="154" spans="1:8" s="17" customFormat="1" ht="57" customHeight="1" x14ac:dyDescent="0.2">
      <c r="A154" s="124" t="s">
        <v>314</v>
      </c>
      <c r="B154" s="32"/>
      <c r="C154" s="16" t="s">
        <v>52</v>
      </c>
      <c r="D154" s="16" t="s">
        <v>108</v>
      </c>
      <c r="E154" s="16" t="s">
        <v>128</v>
      </c>
      <c r="F154" s="27"/>
      <c r="G154" s="33">
        <f>G155</f>
        <v>650</v>
      </c>
    </row>
    <row r="155" spans="1:8" s="17" customFormat="1" ht="38.25" customHeight="1" x14ac:dyDescent="0.2">
      <c r="A155" s="34" t="s">
        <v>129</v>
      </c>
      <c r="B155" s="16"/>
      <c r="C155" s="16" t="s">
        <v>52</v>
      </c>
      <c r="D155" s="16" t="s">
        <v>108</v>
      </c>
      <c r="E155" s="16" t="s">
        <v>130</v>
      </c>
      <c r="F155" s="19"/>
      <c r="G155" s="35">
        <f>G156</f>
        <v>650</v>
      </c>
    </row>
    <row r="156" spans="1:8" s="17" customFormat="1" ht="35.25" customHeight="1" x14ac:dyDescent="0.2">
      <c r="A156" s="34" t="s">
        <v>131</v>
      </c>
      <c r="B156" s="16"/>
      <c r="C156" s="16" t="s">
        <v>52</v>
      </c>
      <c r="D156" s="16" t="s">
        <v>108</v>
      </c>
      <c r="E156" s="16" t="s">
        <v>132</v>
      </c>
      <c r="F156" s="19"/>
      <c r="G156" s="35">
        <f>SUM(G158)</f>
        <v>650</v>
      </c>
    </row>
    <row r="157" spans="1:8" s="17" customFormat="1" ht="39.75" customHeight="1" x14ac:dyDescent="0.2">
      <c r="A157" s="36" t="s">
        <v>41</v>
      </c>
      <c r="B157" s="16"/>
      <c r="C157" s="16" t="s">
        <v>52</v>
      </c>
      <c r="D157" s="16" t="s">
        <v>108</v>
      </c>
      <c r="E157" s="16" t="s">
        <v>132</v>
      </c>
      <c r="F157" s="16" t="s">
        <v>174</v>
      </c>
      <c r="G157" s="35">
        <f>G158</f>
        <v>650</v>
      </c>
    </row>
    <row r="158" spans="1:8" s="17" customFormat="1" ht="38.25" customHeight="1" x14ac:dyDescent="0.2">
      <c r="A158" s="36" t="s">
        <v>175</v>
      </c>
      <c r="B158" s="16"/>
      <c r="C158" s="16" t="s">
        <v>52</v>
      </c>
      <c r="D158" s="16" t="s">
        <v>108</v>
      </c>
      <c r="E158" s="16" t="s">
        <v>132</v>
      </c>
      <c r="F158" s="16" t="s">
        <v>176</v>
      </c>
      <c r="G158" s="35">
        <v>650</v>
      </c>
      <c r="H158" s="63"/>
    </row>
    <row r="159" spans="1:8" s="17" customFormat="1" ht="48" hidden="1" customHeight="1" x14ac:dyDescent="0.2">
      <c r="A159" s="41" t="s">
        <v>250</v>
      </c>
      <c r="B159" s="19"/>
      <c r="C159" s="19" t="s">
        <v>52</v>
      </c>
      <c r="D159" s="19" t="s">
        <v>108</v>
      </c>
      <c r="E159" s="19" t="s">
        <v>207</v>
      </c>
      <c r="F159" s="19"/>
      <c r="G159" s="30">
        <f>G160</f>
        <v>0</v>
      </c>
      <c r="H159" s="63"/>
    </row>
    <row r="160" spans="1:8" s="17" customFormat="1" ht="45.75" hidden="1" customHeight="1" x14ac:dyDescent="0.2">
      <c r="A160" s="42" t="s">
        <v>16</v>
      </c>
      <c r="B160" s="27"/>
      <c r="C160" s="32" t="s">
        <v>52</v>
      </c>
      <c r="D160" s="32" t="s">
        <v>108</v>
      </c>
      <c r="E160" s="32" t="s">
        <v>208</v>
      </c>
      <c r="F160" s="27"/>
      <c r="G160" s="33">
        <f>SUM(G161)</f>
        <v>0</v>
      </c>
      <c r="H160" s="63"/>
    </row>
    <row r="161" spans="1:8" s="17" customFormat="1" ht="41.25" hidden="1" customHeight="1" x14ac:dyDescent="0.2">
      <c r="A161" s="43" t="s">
        <v>16</v>
      </c>
      <c r="B161" s="27"/>
      <c r="C161" s="16" t="s">
        <v>52</v>
      </c>
      <c r="D161" s="16" t="s">
        <v>108</v>
      </c>
      <c r="E161" s="16" t="s">
        <v>209</v>
      </c>
      <c r="F161" s="19"/>
      <c r="G161" s="35">
        <v>0</v>
      </c>
      <c r="H161" s="63"/>
    </row>
    <row r="162" spans="1:8" s="17" customFormat="1" ht="42.75" hidden="1" customHeight="1" x14ac:dyDescent="0.2">
      <c r="A162" s="43" t="s">
        <v>122</v>
      </c>
      <c r="B162" s="27"/>
      <c r="C162" s="16" t="s">
        <v>52</v>
      </c>
      <c r="D162" s="16" t="s">
        <v>108</v>
      </c>
      <c r="E162" s="16" t="s">
        <v>344</v>
      </c>
      <c r="F162" s="16"/>
      <c r="G162" s="35">
        <f>G163</f>
        <v>0</v>
      </c>
      <c r="H162" s="63"/>
    </row>
    <row r="163" spans="1:8" s="17" customFormat="1" ht="41.25" hidden="1" customHeight="1" x14ac:dyDescent="0.2">
      <c r="A163" s="36" t="s">
        <v>43</v>
      </c>
      <c r="B163" s="16"/>
      <c r="C163" s="16" t="s">
        <v>52</v>
      </c>
      <c r="D163" s="16" t="s">
        <v>108</v>
      </c>
      <c r="E163" s="16" t="s">
        <v>344</v>
      </c>
      <c r="F163" s="39" t="s">
        <v>185</v>
      </c>
      <c r="G163" s="35">
        <f>G164</f>
        <v>0</v>
      </c>
      <c r="H163" s="63"/>
    </row>
    <row r="164" spans="1:8" s="17" customFormat="1" ht="45.75" hidden="1" customHeight="1" x14ac:dyDescent="0.2">
      <c r="A164" s="36" t="s">
        <v>334</v>
      </c>
      <c r="B164" s="16"/>
      <c r="C164" s="16" t="s">
        <v>52</v>
      </c>
      <c r="D164" s="16" t="s">
        <v>108</v>
      </c>
      <c r="E164" s="16" t="s">
        <v>344</v>
      </c>
      <c r="F164" s="39" t="s">
        <v>333</v>
      </c>
      <c r="G164" s="35">
        <v>0</v>
      </c>
      <c r="H164" s="63"/>
    </row>
    <row r="165" spans="1:8" s="17" customFormat="1" ht="45" hidden="1" customHeight="1" x14ac:dyDescent="0.2">
      <c r="A165" s="41" t="s">
        <v>159</v>
      </c>
      <c r="B165" s="19"/>
      <c r="C165" s="64" t="s">
        <v>52</v>
      </c>
      <c r="D165" s="64" t="s">
        <v>108</v>
      </c>
      <c r="E165" s="64" t="s">
        <v>160</v>
      </c>
      <c r="F165" s="64"/>
      <c r="G165" s="30">
        <v>0</v>
      </c>
    </row>
    <row r="166" spans="1:8" s="17" customFormat="1" ht="43.5" hidden="1" customHeight="1" x14ac:dyDescent="0.2">
      <c r="A166" s="65" t="s">
        <v>161</v>
      </c>
      <c r="B166" s="32"/>
      <c r="C166" s="66" t="s">
        <v>52</v>
      </c>
      <c r="D166" s="66" t="s">
        <v>108</v>
      </c>
      <c r="E166" s="66" t="s">
        <v>162</v>
      </c>
      <c r="F166" s="66"/>
      <c r="G166" s="33">
        <v>0</v>
      </c>
    </row>
    <row r="167" spans="1:8" s="17" customFormat="1" ht="42" hidden="1" customHeight="1" x14ac:dyDescent="0.2">
      <c r="A167" s="98" t="s">
        <v>282</v>
      </c>
      <c r="B167" s="16"/>
      <c r="C167" s="67" t="s">
        <v>52</v>
      </c>
      <c r="D167" s="67" t="s">
        <v>108</v>
      </c>
      <c r="E167" s="67" t="s">
        <v>164</v>
      </c>
      <c r="F167" s="67"/>
      <c r="G167" s="35">
        <f>SUM(G169)</f>
        <v>0</v>
      </c>
    </row>
    <row r="168" spans="1:8" s="17" customFormat="1" ht="42" hidden="1" customHeight="1" x14ac:dyDescent="0.2">
      <c r="A168" s="36" t="s">
        <v>41</v>
      </c>
      <c r="B168" s="16"/>
      <c r="C168" s="67" t="s">
        <v>52</v>
      </c>
      <c r="D168" s="67" t="s">
        <v>108</v>
      </c>
      <c r="E168" s="67" t="s">
        <v>164</v>
      </c>
      <c r="F168" s="16" t="s">
        <v>174</v>
      </c>
      <c r="G168" s="35">
        <f>G169</f>
        <v>0</v>
      </c>
    </row>
    <row r="169" spans="1:8" s="17" customFormat="1" ht="41.25" hidden="1" customHeight="1" x14ac:dyDescent="0.2">
      <c r="A169" s="36" t="s">
        <v>175</v>
      </c>
      <c r="B169" s="16"/>
      <c r="C169" s="67" t="s">
        <v>52</v>
      </c>
      <c r="D169" s="67" t="s">
        <v>108</v>
      </c>
      <c r="E169" s="67" t="s">
        <v>164</v>
      </c>
      <c r="F169" s="16" t="s">
        <v>176</v>
      </c>
      <c r="G169" s="35"/>
      <c r="H169" s="63"/>
    </row>
    <row r="170" spans="1:8" s="17" customFormat="1" ht="39" hidden="1" customHeight="1" x14ac:dyDescent="0.2">
      <c r="A170" s="68" t="s">
        <v>163</v>
      </c>
      <c r="B170" s="16"/>
      <c r="C170" s="69" t="s">
        <v>52</v>
      </c>
      <c r="D170" s="69" t="s">
        <v>108</v>
      </c>
      <c r="E170" s="69" t="s">
        <v>164</v>
      </c>
      <c r="F170" s="69"/>
      <c r="G170" s="35">
        <v>0</v>
      </c>
    </row>
    <row r="171" spans="1:8" s="17" customFormat="1" ht="38.25" hidden="1" customHeight="1" x14ac:dyDescent="0.2">
      <c r="A171" s="36" t="s">
        <v>41</v>
      </c>
      <c r="B171" s="16"/>
      <c r="C171" s="69" t="s">
        <v>52</v>
      </c>
      <c r="D171" s="69" t="s">
        <v>108</v>
      </c>
      <c r="E171" s="69" t="s">
        <v>164</v>
      </c>
      <c r="F171" s="16" t="s">
        <v>174</v>
      </c>
      <c r="G171" s="35">
        <v>0</v>
      </c>
    </row>
    <row r="172" spans="1:8" s="17" customFormat="1" ht="33" hidden="1" customHeight="1" x14ac:dyDescent="0.2">
      <c r="A172" s="62" t="s">
        <v>499</v>
      </c>
      <c r="B172" s="16"/>
      <c r="C172" s="69" t="s">
        <v>52</v>
      </c>
      <c r="D172" s="69" t="s">
        <v>108</v>
      </c>
      <c r="E172" s="16" t="s">
        <v>498</v>
      </c>
      <c r="F172" s="16"/>
      <c r="G172" s="35">
        <f>G173</f>
        <v>0</v>
      </c>
      <c r="H172" s="63"/>
    </row>
    <row r="173" spans="1:8" s="17" customFormat="1" ht="69.75" hidden="1" customHeight="1" x14ac:dyDescent="0.2">
      <c r="A173" s="34" t="s">
        <v>501</v>
      </c>
      <c r="B173" s="27"/>
      <c r="C173" s="16" t="s">
        <v>52</v>
      </c>
      <c r="D173" s="16" t="s">
        <v>108</v>
      </c>
      <c r="E173" s="16" t="s">
        <v>497</v>
      </c>
      <c r="F173" s="16"/>
      <c r="G173" s="35">
        <f>G174</f>
        <v>0</v>
      </c>
      <c r="H173" s="63"/>
    </row>
    <row r="174" spans="1:8" s="17" customFormat="1" ht="28.5" hidden="1" customHeight="1" x14ac:dyDescent="0.2">
      <c r="A174" s="36" t="s">
        <v>41</v>
      </c>
      <c r="B174" s="16"/>
      <c r="C174" s="16" t="s">
        <v>52</v>
      </c>
      <c r="D174" s="16" t="s">
        <v>108</v>
      </c>
      <c r="E174" s="16" t="s">
        <v>497</v>
      </c>
      <c r="F174" s="16" t="s">
        <v>174</v>
      </c>
      <c r="G174" s="35">
        <f>G175</f>
        <v>0</v>
      </c>
      <c r="H174" s="63"/>
    </row>
    <row r="175" spans="1:8" s="17" customFormat="1" ht="28.5" hidden="1" customHeight="1" x14ac:dyDescent="0.2">
      <c r="A175" s="36" t="s">
        <v>175</v>
      </c>
      <c r="B175" s="16"/>
      <c r="C175" s="16" t="s">
        <v>52</v>
      </c>
      <c r="D175" s="16" t="s">
        <v>108</v>
      </c>
      <c r="E175" s="16" t="s">
        <v>497</v>
      </c>
      <c r="F175" s="16" t="s">
        <v>176</v>
      </c>
      <c r="G175" s="35">
        <v>0</v>
      </c>
      <c r="H175" s="63"/>
    </row>
    <row r="176" spans="1:8" s="17" customFormat="1" ht="21" customHeight="1" x14ac:dyDescent="0.2">
      <c r="A176" s="26" t="s">
        <v>51</v>
      </c>
      <c r="B176" s="27"/>
      <c r="C176" s="27" t="s">
        <v>52</v>
      </c>
      <c r="D176" s="27" t="s">
        <v>53</v>
      </c>
      <c r="E176" s="27"/>
      <c r="F176" s="27"/>
      <c r="G176" s="28">
        <f>G177+G182</f>
        <v>1948.346</v>
      </c>
    </row>
    <row r="177" spans="1:7" s="21" customFormat="1" ht="57" customHeight="1" x14ac:dyDescent="0.2">
      <c r="A177" s="18" t="s">
        <v>479</v>
      </c>
      <c r="B177" s="19"/>
      <c r="C177" s="19" t="s">
        <v>52</v>
      </c>
      <c r="D177" s="19" t="s">
        <v>53</v>
      </c>
      <c r="E177" s="19" t="s">
        <v>474</v>
      </c>
      <c r="F177" s="19"/>
      <c r="G177" s="30">
        <f>G178</f>
        <v>33.695999999999998</v>
      </c>
    </row>
    <row r="178" spans="1:7" s="17" customFormat="1" ht="56.25" customHeight="1" x14ac:dyDescent="0.2">
      <c r="A178" s="70" t="s">
        <v>475</v>
      </c>
      <c r="B178" s="71"/>
      <c r="C178" s="16" t="s">
        <v>52</v>
      </c>
      <c r="D178" s="16" t="s">
        <v>53</v>
      </c>
      <c r="E178" s="16" t="s">
        <v>476</v>
      </c>
      <c r="F178" s="19"/>
      <c r="G178" s="35">
        <f>G179</f>
        <v>33.695999999999998</v>
      </c>
    </row>
    <row r="179" spans="1:7" s="17" customFormat="1" ht="32.25" customHeight="1" x14ac:dyDescent="0.2">
      <c r="A179" s="70" t="s">
        <v>478</v>
      </c>
      <c r="B179" s="71"/>
      <c r="C179" s="16" t="s">
        <v>52</v>
      </c>
      <c r="D179" s="16" t="s">
        <v>53</v>
      </c>
      <c r="E179" s="39" t="s">
        <v>477</v>
      </c>
      <c r="F179" s="59"/>
      <c r="G179" s="35">
        <f>SUM(G181)</f>
        <v>33.695999999999998</v>
      </c>
    </row>
    <row r="180" spans="1:7" s="17" customFormat="1" ht="27.75" customHeight="1" x14ac:dyDescent="0.2">
      <c r="A180" s="36" t="s">
        <v>41</v>
      </c>
      <c r="B180" s="71"/>
      <c r="C180" s="16" t="s">
        <v>52</v>
      </c>
      <c r="D180" s="16" t="s">
        <v>53</v>
      </c>
      <c r="E180" s="39" t="s">
        <v>477</v>
      </c>
      <c r="F180" s="39" t="s">
        <v>174</v>
      </c>
      <c r="G180" s="35">
        <f>G181</f>
        <v>33.695999999999998</v>
      </c>
    </row>
    <row r="181" spans="1:7" s="17" customFormat="1" ht="33" customHeight="1" x14ac:dyDescent="0.2">
      <c r="A181" s="36" t="s">
        <v>175</v>
      </c>
      <c r="B181" s="71"/>
      <c r="C181" s="16" t="s">
        <v>52</v>
      </c>
      <c r="D181" s="16" t="s">
        <v>53</v>
      </c>
      <c r="E181" s="39" t="s">
        <v>477</v>
      </c>
      <c r="F181" s="39" t="s">
        <v>176</v>
      </c>
      <c r="G181" s="35">
        <f>30.7+31+0.3-28.304</f>
        <v>33.695999999999998</v>
      </c>
    </row>
    <row r="182" spans="1:7" s="17" customFormat="1" ht="38.25" x14ac:dyDescent="0.2">
      <c r="A182" s="41" t="s">
        <v>250</v>
      </c>
      <c r="B182" s="19"/>
      <c r="C182" s="19" t="s">
        <v>52</v>
      </c>
      <c r="D182" s="19" t="s">
        <v>53</v>
      </c>
      <c r="E182" s="19" t="s">
        <v>207</v>
      </c>
      <c r="F182" s="19"/>
      <c r="G182" s="30">
        <f>G183</f>
        <v>1914.65</v>
      </c>
    </row>
    <row r="183" spans="1:7" s="17" customFormat="1" ht="12.75" x14ac:dyDescent="0.2">
      <c r="A183" s="65" t="s">
        <v>16</v>
      </c>
      <c r="B183" s="32"/>
      <c r="C183" s="32" t="s">
        <v>52</v>
      </c>
      <c r="D183" s="32" t="s">
        <v>53</v>
      </c>
      <c r="E183" s="32" t="s">
        <v>208</v>
      </c>
      <c r="F183" s="32"/>
      <c r="G183" s="33">
        <f>G184</f>
        <v>1914.65</v>
      </c>
    </row>
    <row r="184" spans="1:7" s="17" customFormat="1" ht="12.75" x14ac:dyDescent="0.2">
      <c r="A184" s="68" t="s">
        <v>16</v>
      </c>
      <c r="B184" s="16"/>
      <c r="C184" s="16" t="s">
        <v>52</v>
      </c>
      <c r="D184" s="16" t="s">
        <v>53</v>
      </c>
      <c r="E184" s="16" t="s">
        <v>209</v>
      </c>
      <c r="F184" s="16"/>
      <c r="G184" s="35">
        <f>G185+G188+G193+G194</f>
        <v>1914.65</v>
      </c>
    </row>
    <row r="185" spans="1:7" s="17" customFormat="1" ht="12.75" x14ac:dyDescent="0.2">
      <c r="A185" s="34" t="s">
        <v>218</v>
      </c>
      <c r="B185" s="16"/>
      <c r="C185" s="16" t="s">
        <v>52</v>
      </c>
      <c r="D185" s="16" t="s">
        <v>53</v>
      </c>
      <c r="E185" s="16" t="s">
        <v>219</v>
      </c>
      <c r="F185" s="19"/>
      <c r="G185" s="35">
        <f>G187</f>
        <v>299</v>
      </c>
    </row>
    <row r="186" spans="1:7" s="17" customFormat="1" ht="25.5" x14ac:dyDescent="0.2">
      <c r="A186" s="36" t="s">
        <v>41</v>
      </c>
      <c r="B186" s="16"/>
      <c r="C186" s="16" t="s">
        <v>52</v>
      </c>
      <c r="D186" s="16" t="s">
        <v>53</v>
      </c>
      <c r="E186" s="16" t="s">
        <v>219</v>
      </c>
      <c r="F186" s="16" t="s">
        <v>174</v>
      </c>
      <c r="G186" s="35">
        <f>G187</f>
        <v>299</v>
      </c>
    </row>
    <row r="187" spans="1:7" s="17" customFormat="1" ht="25.5" x14ac:dyDescent="0.2">
      <c r="A187" s="36" t="s">
        <v>175</v>
      </c>
      <c r="B187" s="16"/>
      <c r="C187" s="16" t="s">
        <v>52</v>
      </c>
      <c r="D187" s="16" t="s">
        <v>53</v>
      </c>
      <c r="E187" s="16" t="s">
        <v>219</v>
      </c>
      <c r="F187" s="16" t="s">
        <v>176</v>
      </c>
      <c r="G187" s="35">
        <f>830.7-30.7-400-101</f>
        <v>299</v>
      </c>
    </row>
    <row r="188" spans="1:7" s="17" customFormat="1" ht="12.75" x14ac:dyDescent="0.2">
      <c r="A188" s="34" t="s">
        <v>220</v>
      </c>
      <c r="B188" s="16"/>
      <c r="C188" s="16" t="s">
        <v>52</v>
      </c>
      <c r="D188" s="16" t="s">
        <v>53</v>
      </c>
      <c r="E188" s="16" t="s">
        <v>221</v>
      </c>
      <c r="F188" s="16"/>
      <c r="G188" s="35">
        <f>G190</f>
        <v>411.4</v>
      </c>
    </row>
    <row r="189" spans="1:7" s="17" customFormat="1" ht="25.5" x14ac:dyDescent="0.2">
      <c r="A189" s="36" t="s">
        <v>41</v>
      </c>
      <c r="B189" s="16"/>
      <c r="C189" s="16" t="s">
        <v>52</v>
      </c>
      <c r="D189" s="16" t="s">
        <v>53</v>
      </c>
      <c r="E189" s="16" t="s">
        <v>221</v>
      </c>
      <c r="F189" s="16" t="s">
        <v>174</v>
      </c>
      <c r="G189" s="35">
        <f>G190</f>
        <v>411.4</v>
      </c>
    </row>
    <row r="190" spans="1:7" s="17" customFormat="1" ht="25.5" x14ac:dyDescent="0.2">
      <c r="A190" s="36" t="s">
        <v>175</v>
      </c>
      <c r="B190" s="16"/>
      <c r="C190" s="16" t="s">
        <v>52</v>
      </c>
      <c r="D190" s="16" t="s">
        <v>53</v>
      </c>
      <c r="E190" s="16" t="s">
        <v>221</v>
      </c>
      <c r="F190" s="16" t="s">
        <v>176</v>
      </c>
      <c r="G190" s="35">
        <f>398.4+13</f>
        <v>411.4</v>
      </c>
    </row>
    <row r="191" spans="1:7" s="17" customFormat="1" ht="59.85" customHeight="1" x14ac:dyDescent="0.2">
      <c r="A191" s="38" t="s">
        <v>355</v>
      </c>
      <c r="B191" s="16"/>
      <c r="C191" s="16" t="s">
        <v>52</v>
      </c>
      <c r="D191" s="16" t="s">
        <v>53</v>
      </c>
      <c r="E191" s="16" t="s">
        <v>433</v>
      </c>
      <c r="F191" s="16"/>
      <c r="G191" s="35">
        <f>SUM(G193)</f>
        <v>224.946</v>
      </c>
    </row>
    <row r="192" spans="1:7" s="17" customFormat="1" ht="12.75" x14ac:dyDescent="0.2">
      <c r="A192" s="36" t="s">
        <v>247</v>
      </c>
      <c r="B192" s="16"/>
      <c r="C192" s="16" t="s">
        <v>52</v>
      </c>
      <c r="D192" s="16" t="s">
        <v>53</v>
      </c>
      <c r="E192" s="16" t="s">
        <v>433</v>
      </c>
      <c r="F192" s="39" t="s">
        <v>189</v>
      </c>
      <c r="G192" s="35">
        <f>G193</f>
        <v>224.946</v>
      </c>
    </row>
    <row r="193" spans="1:7" s="17" customFormat="1" ht="12.75" x14ac:dyDescent="0.2">
      <c r="A193" s="36" t="s">
        <v>190</v>
      </c>
      <c r="B193" s="16"/>
      <c r="C193" s="16" t="s">
        <v>52</v>
      </c>
      <c r="D193" s="16" t="s">
        <v>53</v>
      </c>
      <c r="E193" s="16" t="s">
        <v>433</v>
      </c>
      <c r="F193" s="39" t="s">
        <v>5</v>
      </c>
      <c r="G193" s="35">
        <f>205.531+19.415</f>
        <v>224.946</v>
      </c>
    </row>
    <row r="194" spans="1:7" s="17" customFormat="1" ht="25.5" x14ac:dyDescent="0.2">
      <c r="A194" s="34" t="s">
        <v>222</v>
      </c>
      <c r="B194" s="16"/>
      <c r="C194" s="16" t="s">
        <v>52</v>
      </c>
      <c r="D194" s="16" t="s">
        <v>53</v>
      </c>
      <c r="E194" s="16" t="s">
        <v>223</v>
      </c>
      <c r="F194" s="16"/>
      <c r="G194" s="35">
        <f>G195</f>
        <v>979.30399999999997</v>
      </c>
    </row>
    <row r="195" spans="1:7" s="17" customFormat="1" ht="25.5" x14ac:dyDescent="0.2">
      <c r="A195" s="36" t="s">
        <v>41</v>
      </c>
      <c r="B195" s="16"/>
      <c r="C195" s="16" t="s">
        <v>52</v>
      </c>
      <c r="D195" s="16" t="s">
        <v>53</v>
      </c>
      <c r="E195" s="16" t="s">
        <v>223</v>
      </c>
      <c r="F195" s="16" t="s">
        <v>174</v>
      </c>
      <c r="G195" s="35">
        <f>G196</f>
        <v>979.30399999999997</v>
      </c>
    </row>
    <row r="196" spans="1:7" s="17" customFormat="1" ht="25.5" x14ac:dyDescent="0.2">
      <c r="A196" s="36" t="s">
        <v>175</v>
      </c>
      <c r="B196" s="16"/>
      <c r="C196" s="16" t="s">
        <v>52</v>
      </c>
      <c r="D196" s="16" t="s">
        <v>53</v>
      </c>
      <c r="E196" s="16" t="s">
        <v>223</v>
      </c>
      <c r="F196" s="16" t="s">
        <v>176</v>
      </c>
      <c r="G196" s="318">
        <f>400+1500+169.3+30.7-350-900+101+28.304</f>
        <v>979.30399999999997</v>
      </c>
    </row>
    <row r="197" spans="1:7" s="55" customFormat="1" ht="21" customHeight="1" x14ac:dyDescent="0.2">
      <c r="A197" s="22" t="s">
        <v>260</v>
      </c>
      <c r="B197" s="23"/>
      <c r="C197" s="23" t="s">
        <v>142</v>
      </c>
      <c r="D197" s="23"/>
      <c r="E197" s="23"/>
      <c r="F197" s="23"/>
      <c r="G197" s="54">
        <f>G198+G219+G256</f>
        <v>76832.455999999991</v>
      </c>
    </row>
    <row r="198" spans="1:7" s="55" customFormat="1" ht="12" customHeight="1" x14ac:dyDescent="0.2">
      <c r="A198" s="26" t="s">
        <v>226</v>
      </c>
      <c r="B198" s="27"/>
      <c r="C198" s="27" t="s">
        <v>142</v>
      </c>
      <c r="D198" s="27" t="s">
        <v>40</v>
      </c>
      <c r="E198" s="27"/>
      <c r="F198" s="27"/>
      <c r="G198" s="28">
        <f>G210+G199</f>
        <v>5169.7</v>
      </c>
    </row>
    <row r="199" spans="1:7" s="17" customFormat="1" ht="51" hidden="1" x14ac:dyDescent="0.2">
      <c r="A199" s="117" t="s">
        <v>313</v>
      </c>
      <c r="B199" s="27"/>
      <c r="C199" s="19" t="s">
        <v>142</v>
      </c>
      <c r="D199" s="19" t="s">
        <v>40</v>
      </c>
      <c r="E199" s="19" t="s">
        <v>54</v>
      </c>
      <c r="F199" s="27"/>
      <c r="G199" s="30">
        <f>G200+G205</f>
        <v>0</v>
      </c>
    </row>
    <row r="200" spans="1:7" s="17" customFormat="1" ht="0.75" hidden="1" customHeight="1" x14ac:dyDescent="0.2">
      <c r="A200" s="31" t="s">
        <v>55</v>
      </c>
      <c r="B200" s="27"/>
      <c r="C200" s="16" t="s">
        <v>142</v>
      </c>
      <c r="D200" s="16" t="s">
        <v>40</v>
      </c>
      <c r="E200" s="32" t="s">
        <v>56</v>
      </c>
      <c r="F200" s="27"/>
      <c r="G200" s="33">
        <f>G202</f>
        <v>0</v>
      </c>
    </row>
    <row r="201" spans="1:7" s="17" customFormat="1" ht="63.75" hidden="1" x14ac:dyDescent="0.2">
      <c r="A201" s="34" t="s">
        <v>288</v>
      </c>
      <c r="B201" s="27"/>
      <c r="C201" s="16" t="s">
        <v>142</v>
      </c>
      <c r="D201" s="16" t="s">
        <v>40</v>
      </c>
      <c r="E201" s="16" t="s">
        <v>58</v>
      </c>
      <c r="F201" s="16"/>
      <c r="G201" s="35">
        <f>G202</f>
        <v>0</v>
      </c>
    </row>
    <row r="202" spans="1:7" s="17" customFormat="1" ht="51" hidden="1" x14ac:dyDescent="0.2">
      <c r="A202" s="34" t="s">
        <v>59</v>
      </c>
      <c r="B202" s="16"/>
      <c r="C202" s="16" t="s">
        <v>142</v>
      </c>
      <c r="D202" s="16" t="s">
        <v>40</v>
      </c>
      <c r="E202" s="16" t="s">
        <v>60</v>
      </c>
      <c r="F202" s="16"/>
      <c r="G202" s="35">
        <f>G203</f>
        <v>0</v>
      </c>
    </row>
    <row r="203" spans="1:7" s="17" customFormat="1" ht="12.75" hidden="1" x14ac:dyDescent="0.2">
      <c r="A203" s="78" t="s">
        <v>61</v>
      </c>
      <c r="B203" s="16"/>
      <c r="C203" s="16" t="s">
        <v>142</v>
      </c>
      <c r="D203" s="16" t="s">
        <v>40</v>
      </c>
      <c r="E203" s="16" t="s">
        <v>60</v>
      </c>
      <c r="F203" s="16" t="s">
        <v>233</v>
      </c>
      <c r="G203" s="35">
        <f>G204</f>
        <v>0</v>
      </c>
    </row>
    <row r="204" spans="1:7" s="17" customFormat="1" ht="25.5" hidden="1" x14ac:dyDescent="0.2">
      <c r="A204" s="78" t="s">
        <v>62</v>
      </c>
      <c r="B204" s="16"/>
      <c r="C204" s="16" t="s">
        <v>142</v>
      </c>
      <c r="D204" s="16" t="s">
        <v>40</v>
      </c>
      <c r="E204" s="16" t="s">
        <v>60</v>
      </c>
      <c r="F204" s="16" t="s">
        <v>234</v>
      </c>
      <c r="G204" s="35">
        <v>0</v>
      </c>
    </row>
    <row r="205" spans="1:7" s="17" customFormat="1" ht="6.2" hidden="1" customHeight="1" x14ac:dyDescent="0.2">
      <c r="A205" s="31" t="s">
        <v>65</v>
      </c>
      <c r="B205" s="32"/>
      <c r="C205" s="32" t="s">
        <v>142</v>
      </c>
      <c r="D205" s="32" t="s">
        <v>40</v>
      </c>
      <c r="E205" s="32" t="s">
        <v>66</v>
      </c>
      <c r="F205" s="32"/>
      <c r="G205" s="33">
        <f>G206</f>
        <v>0</v>
      </c>
    </row>
    <row r="206" spans="1:7" s="17" customFormat="1" ht="38.25" hidden="1" x14ac:dyDescent="0.2">
      <c r="A206" s="108" t="s">
        <v>67</v>
      </c>
      <c r="B206" s="16"/>
      <c r="C206" s="16" t="s">
        <v>142</v>
      </c>
      <c r="D206" s="16" t="s">
        <v>40</v>
      </c>
      <c r="E206" s="16" t="s">
        <v>68</v>
      </c>
      <c r="F206" s="16"/>
      <c r="G206" s="35">
        <f>G207</f>
        <v>0</v>
      </c>
    </row>
    <row r="207" spans="1:7" s="17" customFormat="1" ht="38.25" hidden="1" x14ac:dyDescent="0.2">
      <c r="A207" s="109" t="s">
        <v>69</v>
      </c>
      <c r="B207" s="16"/>
      <c r="C207" s="16" t="s">
        <v>142</v>
      </c>
      <c r="D207" s="16" t="s">
        <v>40</v>
      </c>
      <c r="E207" s="16" t="s">
        <v>70</v>
      </c>
      <c r="F207" s="16"/>
      <c r="G207" s="35">
        <f>G208</f>
        <v>0</v>
      </c>
    </row>
    <row r="208" spans="1:7" s="17" customFormat="1" ht="12.75" hidden="1" x14ac:dyDescent="0.2">
      <c r="A208" s="36" t="s">
        <v>61</v>
      </c>
      <c r="B208" s="16"/>
      <c r="C208" s="16" t="s">
        <v>142</v>
      </c>
      <c r="D208" s="16" t="s">
        <v>40</v>
      </c>
      <c r="E208" s="16" t="s">
        <v>70</v>
      </c>
      <c r="F208" s="16" t="s">
        <v>233</v>
      </c>
      <c r="G208" s="35">
        <f>G209</f>
        <v>0</v>
      </c>
    </row>
    <row r="209" spans="1:8" s="17" customFormat="1" ht="3" hidden="1" customHeight="1" x14ac:dyDescent="0.2">
      <c r="A209" s="36" t="s">
        <v>275</v>
      </c>
      <c r="B209" s="16"/>
      <c r="C209" s="16" t="s">
        <v>142</v>
      </c>
      <c r="D209" s="16" t="s">
        <v>40</v>
      </c>
      <c r="E209" s="16" t="s">
        <v>70</v>
      </c>
      <c r="F209" s="16" t="s">
        <v>234</v>
      </c>
      <c r="G209" s="35">
        <v>0</v>
      </c>
    </row>
    <row r="210" spans="1:8" s="55" customFormat="1" ht="38.25" x14ac:dyDescent="0.2">
      <c r="A210" s="41" t="s">
        <v>250</v>
      </c>
      <c r="B210" s="19"/>
      <c r="C210" s="19" t="s">
        <v>142</v>
      </c>
      <c r="D210" s="19" t="s">
        <v>40</v>
      </c>
      <c r="E210" s="19" t="s">
        <v>207</v>
      </c>
      <c r="F210" s="19"/>
      <c r="G210" s="30">
        <f>G211</f>
        <v>5169.7</v>
      </c>
    </row>
    <row r="211" spans="1:8" s="55" customFormat="1" ht="26.25" customHeight="1" x14ac:dyDescent="0.2">
      <c r="A211" s="65" t="s">
        <v>16</v>
      </c>
      <c r="B211" s="32"/>
      <c r="C211" s="32" t="s">
        <v>142</v>
      </c>
      <c r="D211" s="32" t="s">
        <v>40</v>
      </c>
      <c r="E211" s="32" t="s">
        <v>208</v>
      </c>
      <c r="F211" s="32"/>
      <c r="G211" s="33">
        <f>SUM(G212)</f>
        <v>5169.7</v>
      </c>
    </row>
    <row r="212" spans="1:8" s="55" customFormat="1" ht="21.75" customHeight="1" x14ac:dyDescent="0.2">
      <c r="A212" s="68" t="s">
        <v>16</v>
      </c>
      <c r="B212" s="16"/>
      <c r="C212" s="16" t="s">
        <v>142</v>
      </c>
      <c r="D212" s="16" t="s">
        <v>40</v>
      </c>
      <c r="E212" s="16" t="s">
        <v>209</v>
      </c>
      <c r="F212" s="16"/>
      <c r="G212" s="35">
        <f>SUM(G213+G216)</f>
        <v>5169.7</v>
      </c>
    </row>
    <row r="213" spans="1:8" s="55" customFormat="1" ht="21.75" customHeight="1" x14ac:dyDescent="0.2">
      <c r="A213" s="34" t="s">
        <v>227</v>
      </c>
      <c r="B213" s="16"/>
      <c r="C213" s="16" t="s">
        <v>142</v>
      </c>
      <c r="D213" s="16" t="s">
        <v>40</v>
      </c>
      <c r="E213" s="16" t="s">
        <v>228</v>
      </c>
      <c r="F213" s="16"/>
      <c r="G213" s="35">
        <f>G214</f>
        <v>850</v>
      </c>
    </row>
    <row r="214" spans="1:8" s="55" customFormat="1" ht="25.5" x14ac:dyDescent="0.2">
      <c r="A214" s="36" t="s">
        <v>41</v>
      </c>
      <c r="B214" s="16"/>
      <c r="C214" s="16" t="s">
        <v>142</v>
      </c>
      <c r="D214" s="16" t="s">
        <v>40</v>
      </c>
      <c r="E214" s="16" t="s">
        <v>228</v>
      </c>
      <c r="F214" s="16" t="s">
        <v>174</v>
      </c>
      <c r="G214" s="35">
        <f>G215</f>
        <v>850</v>
      </c>
    </row>
    <row r="215" spans="1:8" s="55" customFormat="1" ht="25.5" x14ac:dyDescent="0.2">
      <c r="A215" s="36" t="s">
        <v>175</v>
      </c>
      <c r="B215" s="16"/>
      <c r="C215" s="16" t="s">
        <v>142</v>
      </c>
      <c r="D215" s="16" t="s">
        <v>40</v>
      </c>
      <c r="E215" s="16" t="s">
        <v>228</v>
      </c>
      <c r="F215" s="16" t="s">
        <v>176</v>
      </c>
      <c r="G215" s="35">
        <f>430+220+3950-3750</f>
        <v>850</v>
      </c>
      <c r="H215" s="72"/>
    </row>
    <row r="216" spans="1:8" s="55" customFormat="1" ht="25.5" x14ac:dyDescent="0.2">
      <c r="A216" s="34" t="s">
        <v>261</v>
      </c>
      <c r="B216" s="16"/>
      <c r="C216" s="16" t="s">
        <v>142</v>
      </c>
      <c r="D216" s="16" t="s">
        <v>40</v>
      </c>
      <c r="E216" s="16" t="s">
        <v>225</v>
      </c>
      <c r="F216" s="16"/>
      <c r="G216" s="35">
        <f>SUM(G218)</f>
        <v>4319.7</v>
      </c>
    </row>
    <row r="217" spans="1:8" s="55" customFormat="1" ht="25.5" x14ac:dyDescent="0.2">
      <c r="A217" s="36" t="s">
        <v>41</v>
      </c>
      <c r="B217" s="16"/>
      <c r="C217" s="16" t="s">
        <v>142</v>
      </c>
      <c r="D217" s="16" t="s">
        <v>40</v>
      </c>
      <c r="E217" s="16" t="s">
        <v>225</v>
      </c>
      <c r="F217" s="16" t="s">
        <v>174</v>
      </c>
      <c r="G217" s="35">
        <f>G218</f>
        <v>4319.7</v>
      </c>
    </row>
    <row r="218" spans="1:8" s="55" customFormat="1" ht="25.5" x14ac:dyDescent="0.2">
      <c r="A218" s="36" t="s">
        <v>175</v>
      </c>
      <c r="B218" s="16"/>
      <c r="C218" s="16" t="s">
        <v>142</v>
      </c>
      <c r="D218" s="16" t="s">
        <v>40</v>
      </c>
      <c r="E218" s="16" t="s">
        <v>225</v>
      </c>
      <c r="F218" s="16" t="s">
        <v>176</v>
      </c>
      <c r="G218" s="35">
        <f>4300-0.3+560.3-0.3-540</f>
        <v>4319.7</v>
      </c>
    </row>
    <row r="219" spans="1:8" s="55" customFormat="1" ht="22.5" customHeight="1" x14ac:dyDescent="0.2">
      <c r="A219" s="26" t="s">
        <v>141</v>
      </c>
      <c r="B219" s="27"/>
      <c r="C219" s="27" t="s">
        <v>142</v>
      </c>
      <c r="D219" s="27" t="s">
        <v>143</v>
      </c>
      <c r="E219" s="27"/>
      <c r="F219" s="27"/>
      <c r="G219" s="28">
        <f>G220+G250+G231+G245</f>
        <v>1892.2150000000001</v>
      </c>
    </row>
    <row r="220" spans="1:8" s="55" customFormat="1" ht="45.75" customHeight="1" x14ac:dyDescent="0.2">
      <c r="A220" s="18" t="s">
        <v>262</v>
      </c>
      <c r="B220" s="19"/>
      <c r="C220" s="19" t="s">
        <v>142</v>
      </c>
      <c r="D220" s="19" t="s">
        <v>143</v>
      </c>
      <c r="E220" s="19" t="s">
        <v>134</v>
      </c>
      <c r="F220" s="19"/>
      <c r="G220" s="30">
        <f>G221</f>
        <v>1214.393</v>
      </c>
    </row>
    <row r="221" spans="1:8" s="55" customFormat="1" ht="28.5" customHeight="1" x14ac:dyDescent="0.2">
      <c r="A221" s="31" t="s">
        <v>135</v>
      </c>
      <c r="B221" s="27"/>
      <c r="C221" s="32" t="s">
        <v>142</v>
      </c>
      <c r="D221" s="32" t="s">
        <v>143</v>
      </c>
      <c r="E221" s="32" t="s">
        <v>136</v>
      </c>
      <c r="F221" s="27"/>
      <c r="G221" s="33">
        <f>G228+G222+G225</f>
        <v>1214.393</v>
      </c>
    </row>
    <row r="222" spans="1:8" s="55" customFormat="1" ht="43.5" hidden="1" customHeight="1" x14ac:dyDescent="0.2">
      <c r="A222" s="34" t="s">
        <v>137</v>
      </c>
      <c r="B222" s="19"/>
      <c r="C222" s="16" t="s">
        <v>142</v>
      </c>
      <c r="D222" s="16" t="s">
        <v>143</v>
      </c>
      <c r="E222" s="16" t="s">
        <v>138</v>
      </c>
      <c r="F222" s="19"/>
      <c r="G222" s="35">
        <f>G223</f>
        <v>0</v>
      </c>
    </row>
    <row r="223" spans="1:8" s="55" customFormat="1" ht="33.75" hidden="1" customHeight="1" x14ac:dyDescent="0.2">
      <c r="A223" s="36" t="s">
        <v>139</v>
      </c>
      <c r="B223" s="19"/>
      <c r="C223" s="16" t="s">
        <v>142</v>
      </c>
      <c r="D223" s="16" t="s">
        <v>143</v>
      </c>
      <c r="E223" s="16" t="s">
        <v>138</v>
      </c>
      <c r="F223" s="16" t="s">
        <v>263</v>
      </c>
      <c r="G223" s="35">
        <f>G224</f>
        <v>0</v>
      </c>
    </row>
    <row r="224" spans="1:8" s="55" customFormat="1" ht="24.75" hidden="1" customHeight="1" x14ac:dyDescent="0.2">
      <c r="A224" s="36" t="s">
        <v>140</v>
      </c>
      <c r="B224" s="19"/>
      <c r="C224" s="16" t="s">
        <v>142</v>
      </c>
      <c r="D224" s="16" t="s">
        <v>143</v>
      </c>
      <c r="E224" s="16" t="s">
        <v>138</v>
      </c>
      <c r="F224" s="16" t="s">
        <v>264</v>
      </c>
      <c r="G224" s="35">
        <f>889.388+2637.64-3527.028</f>
        <v>0</v>
      </c>
    </row>
    <row r="225" spans="1:7" s="55" customFormat="1" ht="51" x14ac:dyDescent="0.2">
      <c r="A225" s="36" t="s">
        <v>337</v>
      </c>
      <c r="B225" s="19"/>
      <c r="C225" s="16" t="s">
        <v>142</v>
      </c>
      <c r="D225" s="16" t="s">
        <v>143</v>
      </c>
      <c r="E225" s="16" t="s">
        <v>338</v>
      </c>
      <c r="F225" s="16"/>
      <c r="G225" s="35">
        <f>G226</f>
        <v>916.92000000000007</v>
      </c>
    </row>
    <row r="226" spans="1:7" s="55" customFormat="1" ht="36" customHeight="1" x14ac:dyDescent="0.2">
      <c r="A226" s="36" t="s">
        <v>139</v>
      </c>
      <c r="B226" s="19"/>
      <c r="C226" s="16" t="s">
        <v>142</v>
      </c>
      <c r="D226" s="16" t="s">
        <v>143</v>
      </c>
      <c r="E226" s="16" t="s">
        <v>338</v>
      </c>
      <c r="F226" s="16" t="s">
        <v>263</v>
      </c>
      <c r="G226" s="35">
        <f>G227</f>
        <v>916.92000000000007</v>
      </c>
    </row>
    <row r="227" spans="1:7" s="55" customFormat="1" ht="26.25" customHeight="1" x14ac:dyDescent="0.2">
      <c r="A227" s="36" t="s">
        <v>140</v>
      </c>
      <c r="B227" s="19"/>
      <c r="C227" s="16" t="s">
        <v>142</v>
      </c>
      <c r="D227" s="16" t="s">
        <v>143</v>
      </c>
      <c r="E227" s="16" t="s">
        <v>338</v>
      </c>
      <c r="F227" s="16" t="s">
        <v>264</v>
      </c>
      <c r="G227" s="35">
        <f>2692.66+861.9-2637.64</f>
        <v>916.92000000000007</v>
      </c>
    </row>
    <row r="228" spans="1:7" s="55" customFormat="1" ht="25.5" customHeight="1" x14ac:dyDescent="0.2">
      <c r="A228" s="34" t="s">
        <v>144</v>
      </c>
      <c r="B228" s="16"/>
      <c r="C228" s="16" t="s">
        <v>142</v>
      </c>
      <c r="D228" s="16" t="s">
        <v>143</v>
      </c>
      <c r="E228" s="16" t="s">
        <v>145</v>
      </c>
      <c r="F228" s="16"/>
      <c r="G228" s="35">
        <f>G230</f>
        <v>297.47300000000001</v>
      </c>
    </row>
    <row r="229" spans="1:7" s="55" customFormat="1" ht="25.5" x14ac:dyDescent="0.2">
      <c r="A229" s="36" t="s">
        <v>41</v>
      </c>
      <c r="B229" s="16"/>
      <c r="C229" s="16" t="s">
        <v>142</v>
      </c>
      <c r="D229" s="16" t="s">
        <v>143</v>
      </c>
      <c r="E229" s="16" t="s">
        <v>145</v>
      </c>
      <c r="F229" s="16" t="s">
        <v>174</v>
      </c>
      <c r="G229" s="35">
        <f>G230</f>
        <v>297.47300000000001</v>
      </c>
    </row>
    <row r="230" spans="1:7" s="55" customFormat="1" ht="29.25" customHeight="1" x14ac:dyDescent="0.2">
      <c r="A230" s="36" t="s">
        <v>175</v>
      </c>
      <c r="B230" s="16"/>
      <c r="C230" s="16" t="s">
        <v>142</v>
      </c>
      <c r="D230" s="16" t="s">
        <v>143</v>
      </c>
      <c r="E230" s="16" t="s">
        <v>145</v>
      </c>
      <c r="F230" s="16" t="s">
        <v>176</v>
      </c>
      <c r="G230" s="35">
        <f>358.196+299.967-360.69</f>
        <v>297.47300000000001</v>
      </c>
    </row>
    <row r="231" spans="1:7" s="55" customFormat="1" ht="48" hidden="1" customHeight="1" x14ac:dyDescent="0.2">
      <c r="A231" s="18" t="s">
        <v>165</v>
      </c>
      <c r="B231" s="16"/>
      <c r="C231" s="19" t="s">
        <v>142</v>
      </c>
      <c r="D231" s="19" t="s">
        <v>143</v>
      </c>
      <c r="E231" s="19" t="s">
        <v>166</v>
      </c>
      <c r="F231" s="19"/>
      <c r="G231" s="30">
        <f>SUM(G232)</f>
        <v>0</v>
      </c>
    </row>
    <row r="232" spans="1:7" s="55" customFormat="1" ht="28.5" hidden="1" customHeight="1" x14ac:dyDescent="0.2">
      <c r="A232" s="60" t="s">
        <v>167</v>
      </c>
      <c r="B232" s="32"/>
      <c r="C232" s="32" t="s">
        <v>142</v>
      </c>
      <c r="D232" s="32" t="s">
        <v>143</v>
      </c>
      <c r="E232" s="32" t="s">
        <v>168</v>
      </c>
      <c r="F232" s="32"/>
      <c r="G232" s="33">
        <f>G236+G233+G242+G239</f>
        <v>0</v>
      </c>
    </row>
    <row r="233" spans="1:7" s="55" customFormat="1" ht="27.95" hidden="1" customHeight="1" x14ac:dyDescent="0.2">
      <c r="A233" s="34" t="s">
        <v>284</v>
      </c>
      <c r="B233" s="16"/>
      <c r="C233" s="16" t="s">
        <v>142</v>
      </c>
      <c r="D233" s="16" t="s">
        <v>143</v>
      </c>
      <c r="E233" s="16" t="s">
        <v>170</v>
      </c>
      <c r="F233" s="16"/>
      <c r="G233" s="35">
        <f>SUM(G235)</f>
        <v>0</v>
      </c>
    </row>
    <row r="234" spans="1:7" s="55" customFormat="1" ht="24.4" hidden="1" customHeight="1" x14ac:dyDescent="0.2">
      <c r="A234" s="36" t="s">
        <v>265</v>
      </c>
      <c r="B234" s="16"/>
      <c r="C234" s="16" t="s">
        <v>142</v>
      </c>
      <c r="D234" s="16" t="s">
        <v>143</v>
      </c>
      <c r="E234" s="16" t="s">
        <v>170</v>
      </c>
      <c r="F234" s="16" t="s">
        <v>263</v>
      </c>
      <c r="G234" s="35">
        <f>G235</f>
        <v>0</v>
      </c>
    </row>
    <row r="235" spans="1:7" s="55" customFormat="1" ht="29.25" hidden="1" customHeight="1" x14ac:dyDescent="0.2">
      <c r="A235" s="36" t="s">
        <v>266</v>
      </c>
      <c r="B235" s="16"/>
      <c r="C235" s="16" t="s">
        <v>142</v>
      </c>
      <c r="D235" s="16" t="s">
        <v>143</v>
      </c>
      <c r="E235" s="16" t="s">
        <v>170</v>
      </c>
      <c r="F235" s="16" t="s">
        <v>264</v>
      </c>
      <c r="G235" s="35"/>
    </row>
    <row r="236" spans="1:7" s="55" customFormat="1" ht="39.4" hidden="1" customHeight="1" x14ac:dyDescent="0.2">
      <c r="A236" s="34" t="s">
        <v>169</v>
      </c>
      <c r="B236" s="16"/>
      <c r="C236" s="16" t="s">
        <v>142</v>
      </c>
      <c r="D236" s="16" t="s">
        <v>143</v>
      </c>
      <c r="E236" s="16" t="s">
        <v>170</v>
      </c>
      <c r="F236" s="16"/>
      <c r="G236" s="35">
        <f>SUM(G238)</f>
        <v>0</v>
      </c>
    </row>
    <row r="237" spans="1:7" s="55" customFormat="1" ht="31.9" hidden="1" customHeight="1" x14ac:dyDescent="0.2">
      <c r="A237" s="36" t="s">
        <v>265</v>
      </c>
      <c r="B237" s="16"/>
      <c r="C237" s="16" t="s">
        <v>142</v>
      </c>
      <c r="D237" s="16" t="s">
        <v>143</v>
      </c>
      <c r="E237" s="16" t="s">
        <v>170</v>
      </c>
      <c r="F237" s="16" t="s">
        <v>263</v>
      </c>
      <c r="G237" s="35">
        <f>G238</f>
        <v>0</v>
      </c>
    </row>
    <row r="238" spans="1:7" s="55" customFormat="1" ht="33.950000000000003" hidden="1" customHeight="1" x14ac:dyDescent="0.2">
      <c r="A238" s="36" t="s">
        <v>266</v>
      </c>
      <c r="B238" s="16"/>
      <c r="C238" s="16" t="s">
        <v>142</v>
      </c>
      <c r="D238" s="16" t="s">
        <v>143</v>
      </c>
      <c r="E238" s="16" t="s">
        <v>170</v>
      </c>
      <c r="F238" s="16" t="s">
        <v>264</v>
      </c>
      <c r="G238" s="35">
        <v>0</v>
      </c>
    </row>
    <row r="239" spans="1:7" s="55" customFormat="1" ht="32.25" hidden="1" customHeight="1" x14ac:dyDescent="0.2">
      <c r="A239" s="34" t="s">
        <v>315</v>
      </c>
      <c r="B239" s="16"/>
      <c r="C239" s="16" t="s">
        <v>142</v>
      </c>
      <c r="D239" s="16" t="s">
        <v>143</v>
      </c>
      <c r="E239" s="16" t="s">
        <v>316</v>
      </c>
      <c r="F239" s="16"/>
      <c r="G239" s="35">
        <f>G240</f>
        <v>0</v>
      </c>
    </row>
    <row r="240" spans="1:7" s="55" customFormat="1" ht="33" hidden="1" customHeight="1" x14ac:dyDescent="0.2">
      <c r="A240" s="36" t="s">
        <v>265</v>
      </c>
      <c r="B240" s="16"/>
      <c r="C240" s="16" t="s">
        <v>142</v>
      </c>
      <c r="D240" s="16" t="s">
        <v>143</v>
      </c>
      <c r="E240" s="16" t="s">
        <v>316</v>
      </c>
      <c r="F240" s="16" t="s">
        <v>263</v>
      </c>
      <c r="G240" s="35">
        <f>G241</f>
        <v>0</v>
      </c>
    </row>
    <row r="241" spans="1:7" s="55" customFormat="1" ht="35.25" hidden="1" customHeight="1" x14ac:dyDescent="0.2">
      <c r="A241" s="36" t="s">
        <v>266</v>
      </c>
      <c r="B241" s="16"/>
      <c r="C241" s="16" t="s">
        <v>142</v>
      </c>
      <c r="D241" s="16" t="s">
        <v>143</v>
      </c>
      <c r="E241" s="16" t="s">
        <v>316</v>
      </c>
      <c r="F241" s="16" t="s">
        <v>264</v>
      </c>
      <c r="G241" s="35">
        <v>0</v>
      </c>
    </row>
    <row r="242" spans="1:7" s="55" customFormat="1" ht="44.1" hidden="1" customHeight="1" x14ac:dyDescent="0.2">
      <c r="A242" s="34" t="s">
        <v>315</v>
      </c>
      <c r="B242" s="16"/>
      <c r="C242" s="16" t="s">
        <v>142</v>
      </c>
      <c r="D242" s="16" t="s">
        <v>143</v>
      </c>
      <c r="E242" s="16" t="s">
        <v>316</v>
      </c>
      <c r="F242" s="16"/>
      <c r="G242" s="35">
        <f>SUM(G244)</f>
        <v>0</v>
      </c>
    </row>
    <row r="243" spans="1:7" s="55" customFormat="1" ht="42.75" hidden="1" customHeight="1" x14ac:dyDescent="0.2">
      <c r="A243" s="36" t="s">
        <v>41</v>
      </c>
      <c r="B243" s="16"/>
      <c r="C243" s="16" t="s">
        <v>142</v>
      </c>
      <c r="D243" s="16" t="s">
        <v>143</v>
      </c>
      <c r="E243" s="16" t="s">
        <v>316</v>
      </c>
      <c r="F243" s="16" t="s">
        <v>174</v>
      </c>
      <c r="G243" s="35">
        <f>G244</f>
        <v>0</v>
      </c>
    </row>
    <row r="244" spans="1:7" s="55" customFormat="1" ht="38.25" hidden="1" customHeight="1" x14ac:dyDescent="0.2">
      <c r="A244" s="36" t="s">
        <v>175</v>
      </c>
      <c r="B244" s="16"/>
      <c r="C244" s="16" t="s">
        <v>142</v>
      </c>
      <c r="D244" s="16" t="s">
        <v>143</v>
      </c>
      <c r="E244" s="16" t="s">
        <v>316</v>
      </c>
      <c r="F244" s="16" t="s">
        <v>176</v>
      </c>
      <c r="G244" s="35">
        <v>0</v>
      </c>
    </row>
    <row r="245" spans="1:7" s="55" customFormat="1" ht="81.75" customHeight="1" x14ac:dyDescent="0.2">
      <c r="A245" s="240" t="s">
        <v>442</v>
      </c>
      <c r="B245" s="306"/>
      <c r="C245" s="306" t="s">
        <v>142</v>
      </c>
      <c r="D245" s="306" t="s">
        <v>143</v>
      </c>
      <c r="E245" s="306" t="s">
        <v>523</v>
      </c>
      <c r="F245" s="306"/>
      <c r="G245" s="35">
        <f>G246</f>
        <v>639</v>
      </c>
    </row>
    <row r="246" spans="1:7" s="55" customFormat="1" ht="88.5" customHeight="1" x14ac:dyDescent="0.2">
      <c r="A246" s="244" t="s">
        <v>443</v>
      </c>
      <c r="B246" s="27"/>
      <c r="C246" s="306" t="s">
        <v>142</v>
      </c>
      <c r="D246" s="306" t="s">
        <v>143</v>
      </c>
      <c r="E246" s="306" t="s">
        <v>524</v>
      </c>
      <c r="F246" s="306"/>
      <c r="G246" s="35">
        <f>G247</f>
        <v>639</v>
      </c>
    </row>
    <row r="247" spans="1:7" s="55" customFormat="1" ht="53.25" customHeight="1" x14ac:dyDescent="0.2">
      <c r="A247" s="241" t="s">
        <v>506</v>
      </c>
      <c r="B247" s="27"/>
      <c r="C247" s="306" t="s">
        <v>142</v>
      </c>
      <c r="D247" s="306" t="s">
        <v>143</v>
      </c>
      <c r="E247" s="306" t="s">
        <v>522</v>
      </c>
      <c r="F247" s="306"/>
      <c r="G247" s="35">
        <f>G249</f>
        <v>639</v>
      </c>
    </row>
    <row r="248" spans="1:7" s="55" customFormat="1" ht="38.25" customHeight="1" x14ac:dyDescent="0.2">
      <c r="A248" s="242" t="s">
        <v>41</v>
      </c>
      <c r="B248" s="27"/>
      <c r="C248" s="306" t="s">
        <v>142</v>
      </c>
      <c r="D248" s="306" t="s">
        <v>143</v>
      </c>
      <c r="E248" s="306" t="s">
        <v>522</v>
      </c>
      <c r="F248" s="306" t="s">
        <v>174</v>
      </c>
      <c r="G248" s="35">
        <f>G249</f>
        <v>639</v>
      </c>
    </row>
    <row r="249" spans="1:7" s="55" customFormat="1" ht="38.25" customHeight="1" x14ac:dyDescent="0.2">
      <c r="A249" s="242" t="s">
        <v>42</v>
      </c>
      <c r="B249" s="27"/>
      <c r="C249" s="306" t="s">
        <v>142</v>
      </c>
      <c r="D249" s="306" t="s">
        <v>143</v>
      </c>
      <c r="E249" s="306" t="s">
        <v>522</v>
      </c>
      <c r="F249" s="306" t="s">
        <v>176</v>
      </c>
      <c r="G249" s="35">
        <f>587.88+51.12</f>
        <v>639</v>
      </c>
    </row>
    <row r="250" spans="1:7" s="55" customFormat="1" ht="38.25" x14ac:dyDescent="0.2">
      <c r="A250" s="169" t="s">
        <v>250</v>
      </c>
      <c r="B250" s="16"/>
      <c r="C250" s="19" t="s">
        <v>142</v>
      </c>
      <c r="D250" s="19" t="s">
        <v>143</v>
      </c>
      <c r="E250" s="19" t="s">
        <v>207</v>
      </c>
      <c r="F250" s="19"/>
      <c r="G250" s="30">
        <f>G251</f>
        <v>38.822000000000003</v>
      </c>
    </row>
    <row r="251" spans="1:7" s="55" customFormat="1" ht="19.5" customHeight="1" x14ac:dyDescent="0.2">
      <c r="A251" s="65" t="s">
        <v>16</v>
      </c>
      <c r="B251" s="32"/>
      <c r="C251" s="32" t="s">
        <v>142</v>
      </c>
      <c r="D251" s="32" t="s">
        <v>143</v>
      </c>
      <c r="E251" s="32" t="s">
        <v>208</v>
      </c>
      <c r="F251" s="32"/>
      <c r="G251" s="33">
        <f>G252</f>
        <v>38.822000000000003</v>
      </c>
    </row>
    <row r="252" spans="1:7" s="55" customFormat="1" ht="24.75" customHeight="1" x14ac:dyDescent="0.2">
      <c r="A252" s="68" t="s">
        <v>16</v>
      </c>
      <c r="B252" s="16"/>
      <c r="C252" s="16" t="s">
        <v>142</v>
      </c>
      <c r="D252" s="16" t="s">
        <v>143</v>
      </c>
      <c r="E252" s="16" t="s">
        <v>209</v>
      </c>
      <c r="F252" s="16"/>
      <c r="G252" s="35">
        <f>G253</f>
        <v>38.822000000000003</v>
      </c>
    </row>
    <row r="253" spans="1:7" s="55" customFormat="1" ht="38.25" x14ac:dyDescent="0.2">
      <c r="A253" s="68" t="s">
        <v>229</v>
      </c>
      <c r="B253" s="16"/>
      <c r="C253" s="16" t="s">
        <v>142</v>
      </c>
      <c r="D253" s="16" t="s">
        <v>143</v>
      </c>
      <c r="E253" s="16" t="s">
        <v>230</v>
      </c>
      <c r="F253" s="16"/>
      <c r="G253" s="35">
        <f>SUM(G255)</f>
        <v>38.822000000000003</v>
      </c>
    </row>
    <row r="254" spans="1:7" s="55" customFormat="1" ht="25.5" x14ac:dyDescent="0.2">
      <c r="A254" s="36" t="s">
        <v>41</v>
      </c>
      <c r="B254" s="16"/>
      <c r="C254" s="16" t="s">
        <v>142</v>
      </c>
      <c r="D254" s="16" t="s">
        <v>143</v>
      </c>
      <c r="E254" s="16" t="s">
        <v>230</v>
      </c>
      <c r="F254" s="16" t="s">
        <v>174</v>
      </c>
      <c r="G254" s="35">
        <f>G255</f>
        <v>38.822000000000003</v>
      </c>
    </row>
    <row r="255" spans="1:7" s="55" customFormat="1" ht="25.5" x14ac:dyDescent="0.2">
      <c r="A255" s="36" t="s">
        <v>175</v>
      </c>
      <c r="B255" s="16"/>
      <c r="C255" s="16" t="s">
        <v>142</v>
      </c>
      <c r="D255" s="16" t="s">
        <v>143</v>
      </c>
      <c r="E255" s="16" t="s">
        <v>230</v>
      </c>
      <c r="F255" s="16" t="s">
        <v>176</v>
      </c>
      <c r="G255" s="35">
        <f>212+10-183.178</f>
        <v>38.822000000000003</v>
      </c>
    </row>
    <row r="256" spans="1:7" s="55" customFormat="1" ht="13.5" x14ac:dyDescent="0.2">
      <c r="A256" s="26" t="s">
        <v>152</v>
      </c>
      <c r="B256" s="27"/>
      <c r="C256" s="19" t="s">
        <v>142</v>
      </c>
      <c r="D256" s="19" t="s">
        <v>64</v>
      </c>
      <c r="E256" s="27"/>
      <c r="F256" s="32"/>
      <c r="G256" s="28">
        <f>G257+G271+G276+G281+G286</f>
        <v>69770.540999999997</v>
      </c>
    </row>
    <row r="257" spans="1:8" s="55" customFormat="1" ht="38.25" x14ac:dyDescent="0.2">
      <c r="A257" s="18" t="s">
        <v>268</v>
      </c>
      <c r="B257" s="19"/>
      <c r="C257" s="19" t="s">
        <v>142</v>
      </c>
      <c r="D257" s="19" t="s">
        <v>64</v>
      </c>
      <c r="E257" s="19" t="s">
        <v>147</v>
      </c>
      <c r="F257" s="19"/>
      <c r="G257" s="30">
        <f>G258</f>
        <v>46394.840999999993</v>
      </c>
    </row>
    <row r="258" spans="1:8" s="55" customFormat="1" ht="63.2" customHeight="1" x14ac:dyDescent="0.2">
      <c r="A258" s="31" t="s">
        <v>148</v>
      </c>
      <c r="B258" s="32"/>
      <c r="C258" s="32" t="s">
        <v>142</v>
      </c>
      <c r="D258" s="32" t="s">
        <v>64</v>
      </c>
      <c r="E258" s="32" t="s">
        <v>149</v>
      </c>
      <c r="F258" s="32"/>
      <c r="G258" s="33">
        <f>G259+G265+G268</f>
        <v>46394.840999999993</v>
      </c>
    </row>
    <row r="259" spans="1:8" s="17" customFormat="1" ht="38.25" x14ac:dyDescent="0.2">
      <c r="A259" s="34" t="s">
        <v>150</v>
      </c>
      <c r="B259" s="16"/>
      <c r="C259" s="16" t="s">
        <v>142</v>
      </c>
      <c r="D259" s="16" t="s">
        <v>64</v>
      </c>
      <c r="E259" s="16" t="s">
        <v>151</v>
      </c>
      <c r="F259" s="16"/>
      <c r="G259" s="35">
        <f>G260</f>
        <v>45436.960999999996</v>
      </c>
    </row>
    <row r="260" spans="1:8" s="55" customFormat="1" ht="25.5" x14ac:dyDescent="0.2">
      <c r="A260" s="36" t="s">
        <v>41</v>
      </c>
      <c r="B260" s="16"/>
      <c r="C260" s="16" t="s">
        <v>142</v>
      </c>
      <c r="D260" s="16" t="s">
        <v>64</v>
      </c>
      <c r="E260" s="16" t="s">
        <v>151</v>
      </c>
      <c r="F260" s="16" t="s">
        <v>174</v>
      </c>
      <c r="G260" s="35">
        <f>G261</f>
        <v>45436.960999999996</v>
      </c>
    </row>
    <row r="261" spans="1:8" s="55" customFormat="1" ht="26.45" customHeight="1" x14ac:dyDescent="0.2">
      <c r="A261" s="36" t="s">
        <v>175</v>
      </c>
      <c r="B261" s="16"/>
      <c r="C261" s="16" t="s">
        <v>142</v>
      </c>
      <c r="D261" s="16" t="s">
        <v>64</v>
      </c>
      <c r="E261" s="16" t="s">
        <v>151</v>
      </c>
      <c r="F261" s="16" t="s">
        <v>176</v>
      </c>
      <c r="G261" s="35">
        <f>6000+29349.227+7535+250+212+10+30-19.415-560.3+2690.449-60</f>
        <v>45436.960999999996</v>
      </c>
      <c r="H261" s="72"/>
    </row>
    <row r="262" spans="1:8" s="55" customFormat="1" ht="38.25" hidden="1" x14ac:dyDescent="0.2">
      <c r="A262" s="169" t="s">
        <v>250</v>
      </c>
      <c r="B262" s="74"/>
      <c r="C262" s="19" t="s">
        <v>142</v>
      </c>
      <c r="D262" s="19" t="s">
        <v>64</v>
      </c>
      <c r="E262" s="19" t="s">
        <v>208</v>
      </c>
      <c r="F262" s="19"/>
      <c r="G262" s="30">
        <f>G263</f>
        <v>0</v>
      </c>
      <c r="H262" s="72"/>
    </row>
    <row r="263" spans="1:8" s="55" customFormat="1" ht="12.75" hidden="1" x14ac:dyDescent="0.2">
      <c r="A263" s="172" t="s">
        <v>16</v>
      </c>
      <c r="B263" s="32"/>
      <c r="C263" s="16" t="s">
        <v>142</v>
      </c>
      <c r="D263" s="16" t="s">
        <v>64</v>
      </c>
      <c r="E263" s="32" t="s">
        <v>208</v>
      </c>
      <c r="F263" s="173"/>
      <c r="G263" s="33">
        <f>G264</f>
        <v>0</v>
      </c>
      <c r="H263" s="72"/>
    </row>
    <row r="264" spans="1:8" s="55" customFormat="1" ht="12.75" hidden="1" x14ac:dyDescent="0.2">
      <c r="A264" s="108" t="s">
        <v>16</v>
      </c>
      <c r="B264" s="16"/>
      <c r="C264" s="16" t="s">
        <v>142</v>
      </c>
      <c r="D264" s="16" t="s">
        <v>64</v>
      </c>
      <c r="E264" s="16" t="s">
        <v>209</v>
      </c>
      <c r="F264" s="173"/>
      <c r="G264" s="33">
        <v>0</v>
      </c>
      <c r="H264" s="72"/>
    </row>
    <row r="265" spans="1:8" s="55" customFormat="1" ht="25.5" x14ac:dyDescent="0.2">
      <c r="A265" s="34" t="s">
        <v>350</v>
      </c>
      <c r="B265" s="73"/>
      <c r="C265" s="16" t="s">
        <v>142</v>
      </c>
      <c r="D265" s="16" t="s">
        <v>64</v>
      </c>
      <c r="E265" s="77" t="s">
        <v>359</v>
      </c>
      <c r="F265" s="77"/>
      <c r="G265" s="35">
        <f>SUM(G267)</f>
        <v>949</v>
      </c>
      <c r="H265" s="72"/>
    </row>
    <row r="266" spans="1:8" s="55" customFormat="1" ht="25.5" x14ac:dyDescent="0.2">
      <c r="A266" s="36" t="s">
        <v>41</v>
      </c>
      <c r="B266" s="73"/>
      <c r="C266" s="16" t="s">
        <v>142</v>
      </c>
      <c r="D266" s="16" t="s">
        <v>64</v>
      </c>
      <c r="E266" s="77" t="s">
        <v>359</v>
      </c>
      <c r="F266" s="77">
        <v>200</v>
      </c>
      <c r="G266" s="35">
        <f>G267</f>
        <v>949</v>
      </c>
      <c r="H266" s="72"/>
    </row>
    <row r="267" spans="1:8" s="55" customFormat="1" ht="37.5" customHeight="1" x14ac:dyDescent="0.2">
      <c r="A267" s="36" t="s">
        <v>175</v>
      </c>
      <c r="B267" s="73"/>
      <c r="C267" s="16" t="s">
        <v>142</v>
      </c>
      <c r="D267" s="16" t="s">
        <v>64</v>
      </c>
      <c r="E267" s="77" t="s">
        <v>359</v>
      </c>
      <c r="F267" s="77">
        <v>240</v>
      </c>
      <c r="G267" s="35">
        <f>632+317</f>
        <v>949</v>
      </c>
      <c r="H267" s="72"/>
    </row>
    <row r="268" spans="1:8" s="55" customFormat="1" ht="51" customHeight="1" x14ac:dyDescent="0.2">
      <c r="A268" s="245" t="s">
        <v>506</v>
      </c>
      <c r="B268" s="73"/>
      <c r="C268" s="16" t="s">
        <v>142</v>
      </c>
      <c r="D268" s="16" t="s">
        <v>64</v>
      </c>
      <c r="E268" s="77" t="s">
        <v>505</v>
      </c>
      <c r="F268" s="77"/>
      <c r="G268" s="35">
        <f>SUM(G270)</f>
        <v>8.8800000000000026</v>
      </c>
      <c r="H268" s="72"/>
    </row>
    <row r="269" spans="1:8" s="55" customFormat="1" ht="32.25" customHeight="1" x14ac:dyDescent="0.2">
      <c r="A269" s="36" t="s">
        <v>41</v>
      </c>
      <c r="B269" s="73"/>
      <c r="C269" s="16" t="s">
        <v>142</v>
      </c>
      <c r="D269" s="16" t="s">
        <v>64</v>
      </c>
      <c r="E269" s="77" t="s">
        <v>505</v>
      </c>
      <c r="F269" s="77">
        <v>200</v>
      </c>
      <c r="G269" s="35">
        <f>G270</f>
        <v>8.8800000000000026</v>
      </c>
      <c r="H269" s="72"/>
    </row>
    <row r="270" spans="1:8" s="55" customFormat="1" ht="29.25" customHeight="1" x14ac:dyDescent="0.2">
      <c r="A270" s="36" t="s">
        <v>175</v>
      </c>
      <c r="B270" s="73"/>
      <c r="C270" s="16" t="s">
        <v>142</v>
      </c>
      <c r="D270" s="16" t="s">
        <v>64</v>
      </c>
      <c r="E270" s="77" t="s">
        <v>505</v>
      </c>
      <c r="F270" s="77">
        <v>240</v>
      </c>
      <c r="G270" s="35">
        <f>60-51.12</f>
        <v>8.8800000000000026</v>
      </c>
      <c r="H270" s="72"/>
    </row>
    <row r="271" spans="1:8" s="55" customFormat="1" ht="38.25" x14ac:dyDescent="0.2">
      <c r="A271" s="18" t="s">
        <v>267</v>
      </c>
      <c r="B271" s="27"/>
      <c r="C271" s="19" t="s">
        <v>142</v>
      </c>
      <c r="D271" s="19" t="s">
        <v>64</v>
      </c>
      <c r="E271" s="19" t="s">
        <v>154</v>
      </c>
      <c r="F271" s="32"/>
      <c r="G271" s="30">
        <f>G272</f>
        <v>200</v>
      </c>
    </row>
    <row r="272" spans="1:8" s="55" customFormat="1" ht="25.5" x14ac:dyDescent="0.2">
      <c r="A272" s="31" t="s">
        <v>155</v>
      </c>
      <c r="B272" s="27"/>
      <c r="C272" s="32" t="s">
        <v>142</v>
      </c>
      <c r="D272" s="32" t="s">
        <v>64</v>
      </c>
      <c r="E272" s="32" t="s">
        <v>156</v>
      </c>
      <c r="F272" s="32"/>
      <c r="G272" s="33">
        <f>SUM(G273)</f>
        <v>200</v>
      </c>
    </row>
    <row r="273" spans="1:7" s="55" customFormat="1" ht="25.5" x14ac:dyDescent="0.2">
      <c r="A273" s="34" t="s">
        <v>157</v>
      </c>
      <c r="B273" s="27"/>
      <c r="C273" s="16" t="s">
        <v>142</v>
      </c>
      <c r="D273" s="16" t="s">
        <v>64</v>
      </c>
      <c r="E273" s="16" t="s">
        <v>158</v>
      </c>
      <c r="F273" s="32"/>
      <c r="G273" s="35">
        <f>G275</f>
        <v>200</v>
      </c>
    </row>
    <row r="274" spans="1:7" s="55" customFormat="1" ht="25.5" x14ac:dyDescent="0.2">
      <c r="A274" s="36" t="s">
        <v>41</v>
      </c>
      <c r="B274" s="27"/>
      <c r="C274" s="16" t="s">
        <v>142</v>
      </c>
      <c r="D274" s="16" t="s">
        <v>64</v>
      </c>
      <c r="E274" s="16" t="s">
        <v>158</v>
      </c>
      <c r="F274" s="16" t="s">
        <v>174</v>
      </c>
      <c r="G274" s="35">
        <f>G275</f>
        <v>200</v>
      </c>
    </row>
    <row r="275" spans="1:7" s="55" customFormat="1" ht="25.5" x14ac:dyDescent="0.2">
      <c r="A275" s="36" t="s">
        <v>175</v>
      </c>
      <c r="B275" s="27"/>
      <c r="C275" s="16" t="s">
        <v>142</v>
      </c>
      <c r="D275" s="16" t="s">
        <v>64</v>
      </c>
      <c r="E275" s="16" t="s">
        <v>158</v>
      </c>
      <c r="F275" s="16" t="s">
        <v>176</v>
      </c>
      <c r="G275" s="35">
        <v>200</v>
      </c>
    </row>
    <row r="276" spans="1:7" s="55" customFormat="1" ht="76.5" x14ac:dyDescent="0.2">
      <c r="A276" s="240" t="s">
        <v>442</v>
      </c>
      <c r="B276" s="27"/>
      <c r="C276" s="19" t="s">
        <v>142</v>
      </c>
      <c r="D276" s="19" t="s">
        <v>64</v>
      </c>
      <c r="E276" s="243" t="s">
        <v>441</v>
      </c>
      <c r="F276" s="16"/>
      <c r="G276" s="30">
        <f>G277</f>
        <v>80</v>
      </c>
    </row>
    <row r="277" spans="1:7" s="55" customFormat="1" ht="76.5" x14ac:dyDescent="0.2">
      <c r="A277" s="244" t="s">
        <v>443</v>
      </c>
      <c r="B277" s="27"/>
      <c r="C277" s="16" t="s">
        <v>142</v>
      </c>
      <c r="D277" s="16" t="s">
        <v>64</v>
      </c>
      <c r="E277" s="203" t="s">
        <v>445</v>
      </c>
      <c r="F277" s="16"/>
      <c r="G277" s="35">
        <f>G278</f>
        <v>80</v>
      </c>
    </row>
    <row r="278" spans="1:7" s="55" customFormat="1" ht="76.5" x14ac:dyDescent="0.2">
      <c r="A278" s="241" t="s">
        <v>444</v>
      </c>
      <c r="B278" s="27"/>
      <c r="C278" s="16" t="s">
        <v>142</v>
      </c>
      <c r="D278" s="16" t="s">
        <v>64</v>
      </c>
      <c r="E278" s="203" t="s">
        <v>446</v>
      </c>
      <c r="F278" s="16"/>
      <c r="G278" s="35">
        <f>G279</f>
        <v>80</v>
      </c>
    </row>
    <row r="279" spans="1:7" s="55" customFormat="1" ht="25.5" x14ac:dyDescent="0.2">
      <c r="A279" s="242" t="s">
        <v>41</v>
      </c>
      <c r="B279" s="27"/>
      <c r="C279" s="16" t="s">
        <v>142</v>
      </c>
      <c r="D279" s="16" t="s">
        <v>64</v>
      </c>
      <c r="E279" s="203" t="s">
        <v>446</v>
      </c>
      <c r="F279" s="16" t="s">
        <v>174</v>
      </c>
      <c r="G279" s="35">
        <f>G280</f>
        <v>80</v>
      </c>
    </row>
    <row r="280" spans="1:7" s="55" customFormat="1" ht="25.5" x14ac:dyDescent="0.2">
      <c r="A280" s="242" t="s">
        <v>42</v>
      </c>
      <c r="B280" s="27"/>
      <c r="C280" s="16" t="s">
        <v>142</v>
      </c>
      <c r="D280" s="16" t="s">
        <v>64</v>
      </c>
      <c r="E280" s="203" t="s">
        <v>446</v>
      </c>
      <c r="F280" s="16" t="s">
        <v>176</v>
      </c>
      <c r="G280" s="35">
        <v>80</v>
      </c>
    </row>
    <row r="281" spans="1:7" s="55" customFormat="1" ht="38.25" x14ac:dyDescent="0.2">
      <c r="A281" s="240" t="s">
        <v>438</v>
      </c>
      <c r="B281" s="27"/>
      <c r="C281" s="19" t="s">
        <v>142</v>
      </c>
      <c r="D281" s="19" t="s">
        <v>64</v>
      </c>
      <c r="E281" s="243" t="s">
        <v>436</v>
      </c>
      <c r="F281" s="16"/>
      <c r="G281" s="30">
        <f>G282</f>
        <v>94.8</v>
      </c>
    </row>
    <row r="282" spans="1:7" s="55" customFormat="1" ht="51" x14ac:dyDescent="0.2">
      <c r="A282" s="244" t="s">
        <v>439</v>
      </c>
      <c r="B282" s="27"/>
      <c r="C282" s="16" t="s">
        <v>142</v>
      </c>
      <c r="D282" s="16" t="s">
        <v>64</v>
      </c>
      <c r="E282" s="203" t="s">
        <v>437</v>
      </c>
      <c r="F282" s="16"/>
      <c r="G282" s="35">
        <f>G283</f>
        <v>94.8</v>
      </c>
    </row>
    <row r="283" spans="1:7" s="55" customFormat="1" ht="42.75" customHeight="1" x14ac:dyDescent="0.2">
      <c r="A283" s="241" t="s">
        <v>440</v>
      </c>
      <c r="B283" s="27"/>
      <c r="C283" s="16" t="s">
        <v>142</v>
      </c>
      <c r="D283" s="16" t="s">
        <v>64</v>
      </c>
      <c r="E283" s="203" t="s">
        <v>472</v>
      </c>
      <c r="F283" s="16"/>
      <c r="G283" s="35">
        <f>G284</f>
        <v>94.8</v>
      </c>
    </row>
    <row r="284" spans="1:7" s="55" customFormat="1" ht="30.75" customHeight="1" x14ac:dyDescent="0.2">
      <c r="A284" s="242" t="s">
        <v>41</v>
      </c>
      <c r="B284" s="27"/>
      <c r="C284" s="16" t="s">
        <v>142</v>
      </c>
      <c r="D284" s="16" t="s">
        <v>64</v>
      </c>
      <c r="E284" s="203" t="s">
        <v>472</v>
      </c>
      <c r="F284" s="16" t="s">
        <v>174</v>
      </c>
      <c r="G284" s="35">
        <f>G285</f>
        <v>94.8</v>
      </c>
    </row>
    <row r="285" spans="1:7" s="55" customFormat="1" ht="31.5" customHeight="1" x14ac:dyDescent="0.2">
      <c r="A285" s="242" t="s">
        <v>42</v>
      </c>
      <c r="B285" s="27"/>
      <c r="C285" s="16" t="s">
        <v>142</v>
      </c>
      <c r="D285" s="16" t="s">
        <v>64</v>
      </c>
      <c r="E285" s="203" t="s">
        <v>472</v>
      </c>
      <c r="F285" s="16" t="s">
        <v>176</v>
      </c>
      <c r="G285" s="35">
        <f>94.8</f>
        <v>94.8</v>
      </c>
    </row>
    <row r="286" spans="1:7" s="55" customFormat="1" ht="50.25" customHeight="1" x14ac:dyDescent="0.2">
      <c r="A286" s="18" t="s">
        <v>347</v>
      </c>
      <c r="B286" s="16"/>
      <c r="C286" s="19" t="s">
        <v>142</v>
      </c>
      <c r="D286" s="19" t="s">
        <v>64</v>
      </c>
      <c r="E286" s="19" t="s">
        <v>171</v>
      </c>
      <c r="F286" s="19"/>
      <c r="G286" s="30">
        <f>G291+G287</f>
        <v>23000.9</v>
      </c>
    </row>
    <row r="287" spans="1:7" s="171" customFormat="1" ht="0.75" hidden="1" customHeight="1" x14ac:dyDescent="0.2">
      <c r="A287" s="31" t="s">
        <v>285</v>
      </c>
      <c r="B287" s="32"/>
      <c r="C287" s="32" t="s">
        <v>142</v>
      </c>
      <c r="D287" s="32" t="s">
        <v>64</v>
      </c>
      <c r="E287" s="32" t="s">
        <v>286</v>
      </c>
      <c r="F287" s="32"/>
      <c r="G287" s="33">
        <f>G288</f>
        <v>0</v>
      </c>
    </row>
    <row r="288" spans="1:7" s="171" customFormat="1" ht="38.25" hidden="1" x14ac:dyDescent="0.2">
      <c r="A288" s="34" t="s">
        <v>172</v>
      </c>
      <c r="B288" s="16"/>
      <c r="C288" s="16" t="s">
        <v>142</v>
      </c>
      <c r="D288" s="16" t="s">
        <v>64</v>
      </c>
      <c r="E288" s="16" t="s">
        <v>287</v>
      </c>
      <c r="F288" s="16"/>
      <c r="G288" s="35">
        <f>G289</f>
        <v>0</v>
      </c>
    </row>
    <row r="289" spans="1:8" s="171" customFormat="1" ht="25.5" hidden="1" x14ac:dyDescent="0.2">
      <c r="A289" s="36" t="s">
        <v>41</v>
      </c>
      <c r="B289" s="16"/>
      <c r="C289" s="16" t="s">
        <v>142</v>
      </c>
      <c r="D289" s="16" t="s">
        <v>64</v>
      </c>
      <c r="E289" s="16" t="s">
        <v>287</v>
      </c>
      <c r="F289" s="16" t="s">
        <v>174</v>
      </c>
      <c r="G289" s="35">
        <f>G290</f>
        <v>0</v>
      </c>
    </row>
    <row r="290" spans="1:8" s="171" customFormat="1" ht="25.5" hidden="1" x14ac:dyDescent="0.2">
      <c r="A290" s="36" t="s">
        <v>175</v>
      </c>
      <c r="B290" s="16"/>
      <c r="C290" s="16" t="s">
        <v>142</v>
      </c>
      <c r="D290" s="16" t="s">
        <v>64</v>
      </c>
      <c r="E290" s="16" t="s">
        <v>287</v>
      </c>
      <c r="F290" s="16" t="s">
        <v>176</v>
      </c>
      <c r="G290" s="35">
        <v>0</v>
      </c>
    </row>
    <row r="291" spans="1:8" s="55" customFormat="1" ht="25.5" x14ac:dyDescent="0.2">
      <c r="A291" s="208" t="s">
        <v>351</v>
      </c>
      <c r="B291" s="32"/>
      <c r="C291" s="32" t="s">
        <v>142</v>
      </c>
      <c r="D291" s="32" t="s">
        <v>64</v>
      </c>
      <c r="E291" s="32" t="s">
        <v>341</v>
      </c>
      <c r="F291" s="32"/>
      <c r="G291" s="33">
        <f>G292</f>
        <v>23000.9</v>
      </c>
    </row>
    <row r="292" spans="1:8" s="55" customFormat="1" ht="25.5" x14ac:dyDescent="0.2">
      <c r="A292" s="151" t="s">
        <v>352</v>
      </c>
      <c r="B292" s="16"/>
      <c r="C292" s="16" t="s">
        <v>142</v>
      </c>
      <c r="D292" s="16" t="s">
        <v>64</v>
      </c>
      <c r="E292" s="152" t="s">
        <v>339</v>
      </c>
      <c r="F292" s="16"/>
      <c r="G292" s="35">
        <f>G293</f>
        <v>23000.9</v>
      </c>
    </row>
    <row r="293" spans="1:8" s="55" customFormat="1" ht="25.5" x14ac:dyDescent="0.2">
      <c r="A293" s="36" t="s">
        <v>41</v>
      </c>
      <c r="B293" s="16"/>
      <c r="C293" s="16" t="s">
        <v>142</v>
      </c>
      <c r="D293" s="16" t="s">
        <v>64</v>
      </c>
      <c r="E293" s="152" t="s">
        <v>339</v>
      </c>
      <c r="F293" s="16" t="s">
        <v>174</v>
      </c>
      <c r="G293" s="35">
        <f>G294</f>
        <v>23000.9</v>
      </c>
      <c r="H293" s="72"/>
    </row>
    <row r="294" spans="1:8" s="55" customFormat="1" ht="25.5" x14ac:dyDescent="0.2">
      <c r="A294" s="36" t="s">
        <v>175</v>
      </c>
      <c r="B294" s="16"/>
      <c r="C294" s="16" t="s">
        <v>142</v>
      </c>
      <c r="D294" s="16" t="s">
        <v>64</v>
      </c>
      <c r="E294" s="152" t="s">
        <v>339</v>
      </c>
      <c r="F294" s="16" t="s">
        <v>176</v>
      </c>
      <c r="G294" s="35">
        <f>17445+7555+2200-3858.1-341</f>
        <v>23000.9</v>
      </c>
    </row>
    <row r="295" spans="1:8" s="55" customFormat="1" ht="0.75" customHeight="1" x14ac:dyDescent="0.2">
      <c r="A295" s="169" t="s">
        <v>250</v>
      </c>
      <c r="B295" s="16"/>
      <c r="C295" s="19" t="s">
        <v>142</v>
      </c>
      <c r="D295" s="19" t="s">
        <v>64</v>
      </c>
      <c r="E295" s="19" t="s">
        <v>207</v>
      </c>
      <c r="F295" s="19"/>
      <c r="G295" s="30">
        <f>G296</f>
        <v>0</v>
      </c>
    </row>
    <row r="296" spans="1:8" s="55" customFormat="1" ht="12.75" hidden="1" x14ac:dyDescent="0.2">
      <c r="A296" s="172" t="s">
        <v>16</v>
      </c>
      <c r="B296" s="32"/>
      <c r="C296" s="32" t="s">
        <v>142</v>
      </c>
      <c r="D296" s="32" t="s">
        <v>64</v>
      </c>
      <c r="E296" s="32" t="s">
        <v>208</v>
      </c>
      <c r="F296" s="32"/>
      <c r="G296" s="33">
        <f>G297</f>
        <v>0</v>
      </c>
    </row>
    <row r="297" spans="1:8" s="55" customFormat="1" ht="12.75" hidden="1" x14ac:dyDescent="0.2">
      <c r="A297" s="108" t="s">
        <v>16</v>
      </c>
      <c r="B297" s="16"/>
      <c r="C297" s="16" t="s">
        <v>142</v>
      </c>
      <c r="D297" s="16" t="s">
        <v>64</v>
      </c>
      <c r="E297" s="16" t="s">
        <v>209</v>
      </c>
      <c r="F297" s="16"/>
      <c r="G297" s="35">
        <f>G298</f>
        <v>0</v>
      </c>
    </row>
    <row r="298" spans="1:8" s="55" customFormat="1" ht="38.25" hidden="1" x14ac:dyDescent="0.2">
      <c r="A298" s="108" t="s">
        <v>295</v>
      </c>
      <c r="B298" s="16"/>
      <c r="C298" s="16" t="s">
        <v>142</v>
      </c>
      <c r="D298" s="16" t="s">
        <v>64</v>
      </c>
      <c r="E298" s="16" t="s">
        <v>294</v>
      </c>
      <c r="F298" s="16"/>
      <c r="G298" s="35">
        <f>G299</f>
        <v>0</v>
      </c>
    </row>
    <row r="299" spans="1:8" s="55" customFormat="1" ht="12.75" hidden="1" x14ac:dyDescent="0.2">
      <c r="A299" s="36" t="s">
        <v>43</v>
      </c>
      <c r="B299" s="16"/>
      <c r="C299" s="16" t="s">
        <v>142</v>
      </c>
      <c r="D299" s="16" t="s">
        <v>64</v>
      </c>
      <c r="E299" s="16" t="s">
        <v>294</v>
      </c>
      <c r="F299" s="16" t="s">
        <v>185</v>
      </c>
      <c r="G299" s="35">
        <f>G300</f>
        <v>0</v>
      </c>
    </row>
    <row r="300" spans="1:8" s="55" customFormat="1" ht="12.75" hidden="1" x14ac:dyDescent="0.2">
      <c r="A300" s="36" t="s">
        <v>44</v>
      </c>
      <c r="B300" s="16"/>
      <c r="C300" s="16" t="s">
        <v>142</v>
      </c>
      <c r="D300" s="16" t="s">
        <v>64</v>
      </c>
      <c r="E300" s="16" t="s">
        <v>294</v>
      </c>
      <c r="F300" s="16" t="s">
        <v>187</v>
      </c>
      <c r="G300" s="35">
        <v>0</v>
      </c>
      <c r="H300" s="72"/>
    </row>
    <row r="301" spans="1:8" s="55" customFormat="1" ht="19.5" customHeight="1" x14ac:dyDescent="0.2">
      <c r="A301" s="22" t="s">
        <v>269</v>
      </c>
      <c r="B301" s="23"/>
      <c r="C301" s="23" t="s">
        <v>80</v>
      </c>
      <c r="D301" s="23"/>
      <c r="E301" s="23"/>
      <c r="F301" s="23"/>
      <c r="G301" s="54">
        <f>G302</f>
        <v>702.13</v>
      </c>
    </row>
    <row r="302" spans="1:8" s="29" customFormat="1" ht="13.5" x14ac:dyDescent="0.25">
      <c r="A302" s="26" t="s">
        <v>79</v>
      </c>
      <c r="B302" s="27"/>
      <c r="C302" s="27" t="s">
        <v>80</v>
      </c>
      <c r="D302" s="27" t="s">
        <v>80</v>
      </c>
      <c r="E302" s="27"/>
      <c r="F302" s="27"/>
      <c r="G302" s="28">
        <f>G303</f>
        <v>702.13</v>
      </c>
    </row>
    <row r="303" spans="1:8" s="21" customFormat="1" ht="38.25" x14ac:dyDescent="0.2">
      <c r="A303" s="18" t="s">
        <v>71</v>
      </c>
      <c r="B303" s="19"/>
      <c r="C303" s="19" t="s">
        <v>80</v>
      </c>
      <c r="D303" s="19" t="s">
        <v>80</v>
      </c>
      <c r="E303" s="19" t="s">
        <v>72</v>
      </c>
      <c r="F303" s="19"/>
      <c r="G303" s="30">
        <f>G304</f>
        <v>702.13</v>
      </c>
    </row>
    <row r="304" spans="1:8" s="55" customFormat="1" ht="25.5" x14ac:dyDescent="0.2">
      <c r="A304" s="34" t="s">
        <v>73</v>
      </c>
      <c r="B304" s="16"/>
      <c r="C304" s="16" t="s">
        <v>80</v>
      </c>
      <c r="D304" s="16" t="s">
        <v>80</v>
      </c>
      <c r="E304" s="16" t="s">
        <v>74</v>
      </c>
      <c r="F304" s="16"/>
      <c r="G304" s="35">
        <f>G305+G309</f>
        <v>702.13</v>
      </c>
    </row>
    <row r="305" spans="1:7" s="55" customFormat="1" ht="25.5" x14ac:dyDescent="0.2">
      <c r="A305" s="31" t="s">
        <v>75</v>
      </c>
      <c r="B305" s="32"/>
      <c r="C305" s="32" t="s">
        <v>80</v>
      </c>
      <c r="D305" s="32" t="s">
        <v>80</v>
      </c>
      <c r="E305" s="32" t="s">
        <v>76</v>
      </c>
      <c r="F305" s="32"/>
      <c r="G305" s="33">
        <f>SUM(G306)</f>
        <v>343.68</v>
      </c>
    </row>
    <row r="306" spans="1:7" s="55" customFormat="1" ht="12.75" x14ac:dyDescent="0.2">
      <c r="A306" s="34" t="s">
        <v>77</v>
      </c>
      <c r="B306" s="16"/>
      <c r="C306" s="16" t="s">
        <v>80</v>
      </c>
      <c r="D306" s="16" t="s">
        <v>80</v>
      </c>
      <c r="E306" s="16" t="s">
        <v>78</v>
      </c>
      <c r="F306" s="16"/>
      <c r="G306" s="35">
        <f>G308</f>
        <v>343.68</v>
      </c>
    </row>
    <row r="307" spans="1:7" s="55" customFormat="1" ht="25.5" x14ac:dyDescent="0.2">
      <c r="A307" s="36" t="s">
        <v>41</v>
      </c>
      <c r="B307" s="16"/>
      <c r="C307" s="16" t="s">
        <v>80</v>
      </c>
      <c r="D307" s="16" t="s">
        <v>80</v>
      </c>
      <c r="E307" s="16" t="s">
        <v>78</v>
      </c>
      <c r="F307" s="16" t="s">
        <v>174</v>
      </c>
      <c r="G307" s="35">
        <f>G308</f>
        <v>343.68</v>
      </c>
    </row>
    <row r="308" spans="1:7" s="55" customFormat="1" ht="25.5" x14ac:dyDescent="0.2">
      <c r="A308" s="36" t="s">
        <v>175</v>
      </c>
      <c r="B308" s="16"/>
      <c r="C308" s="16" t="s">
        <v>80</v>
      </c>
      <c r="D308" s="16" t="s">
        <v>80</v>
      </c>
      <c r="E308" s="16" t="s">
        <v>78</v>
      </c>
      <c r="F308" s="16" t="s">
        <v>176</v>
      </c>
      <c r="G308" s="35">
        <v>343.68</v>
      </c>
    </row>
    <row r="309" spans="1:7" s="55" customFormat="1" ht="25.5" x14ac:dyDescent="0.2">
      <c r="A309" s="31" t="s">
        <v>81</v>
      </c>
      <c r="B309" s="32"/>
      <c r="C309" s="32" t="s">
        <v>80</v>
      </c>
      <c r="D309" s="32" t="s">
        <v>80</v>
      </c>
      <c r="E309" s="32" t="s">
        <v>82</v>
      </c>
      <c r="F309" s="32"/>
      <c r="G309" s="33">
        <f>SUM(G310)</f>
        <v>358.45</v>
      </c>
    </row>
    <row r="310" spans="1:7" s="17" customFormat="1" ht="12.75" x14ac:dyDescent="0.2">
      <c r="A310" s="34" t="s">
        <v>83</v>
      </c>
      <c r="B310" s="16"/>
      <c r="C310" s="16" t="s">
        <v>80</v>
      </c>
      <c r="D310" s="16" t="s">
        <v>80</v>
      </c>
      <c r="E310" s="16" t="s">
        <v>84</v>
      </c>
      <c r="F310" s="16"/>
      <c r="G310" s="35">
        <f>G312</f>
        <v>358.45</v>
      </c>
    </row>
    <row r="311" spans="1:7" s="17" customFormat="1" ht="25.5" x14ac:dyDescent="0.2">
      <c r="A311" s="36" t="s">
        <v>41</v>
      </c>
      <c r="B311" s="16"/>
      <c r="C311" s="16" t="s">
        <v>80</v>
      </c>
      <c r="D311" s="16" t="s">
        <v>80</v>
      </c>
      <c r="E311" s="16" t="s">
        <v>84</v>
      </c>
      <c r="F311" s="16" t="s">
        <v>174</v>
      </c>
      <c r="G311" s="35">
        <f>G312</f>
        <v>358.45</v>
      </c>
    </row>
    <row r="312" spans="1:7" s="17" customFormat="1" ht="25.5" x14ac:dyDescent="0.2">
      <c r="A312" s="36" t="s">
        <v>175</v>
      </c>
      <c r="B312" s="16"/>
      <c r="C312" s="16" t="s">
        <v>80</v>
      </c>
      <c r="D312" s="16" t="s">
        <v>80</v>
      </c>
      <c r="E312" s="16" t="s">
        <v>84</v>
      </c>
      <c r="F312" s="16" t="s">
        <v>176</v>
      </c>
      <c r="G312" s="35">
        <f>8+240.45+60+50</f>
        <v>358.45</v>
      </c>
    </row>
    <row r="313" spans="1:7" s="17" customFormat="1" ht="24" customHeight="1" x14ac:dyDescent="0.2">
      <c r="A313" s="22" t="s">
        <v>270</v>
      </c>
      <c r="B313" s="23"/>
      <c r="C313" s="23" t="s">
        <v>91</v>
      </c>
      <c r="D313" s="23"/>
      <c r="E313" s="23"/>
      <c r="F313" s="23"/>
      <c r="G313" s="54">
        <f>SUM(G314)</f>
        <v>31626.02</v>
      </c>
    </row>
    <row r="314" spans="1:7" s="17" customFormat="1" ht="12.75" x14ac:dyDescent="0.2">
      <c r="A314" s="18" t="s">
        <v>90</v>
      </c>
      <c r="B314" s="73"/>
      <c r="C314" s="19" t="s">
        <v>91</v>
      </c>
      <c r="D314" s="19" t="s">
        <v>40</v>
      </c>
      <c r="E314" s="19"/>
      <c r="F314" s="19"/>
      <c r="G314" s="30">
        <f>G315+G339</f>
        <v>31626.02</v>
      </c>
    </row>
    <row r="315" spans="1:7" s="17" customFormat="1" ht="38.25" x14ac:dyDescent="0.2">
      <c r="A315" s="18" t="s">
        <v>71</v>
      </c>
      <c r="B315" s="73"/>
      <c r="C315" s="19" t="s">
        <v>91</v>
      </c>
      <c r="D315" s="19" t="s">
        <v>40</v>
      </c>
      <c r="E315" s="19" t="s">
        <v>72</v>
      </c>
      <c r="F315" s="19"/>
      <c r="G315" s="30">
        <f>G316+G334</f>
        <v>31626.02</v>
      </c>
    </row>
    <row r="316" spans="1:7" s="17" customFormat="1" ht="38.25" x14ac:dyDescent="0.2">
      <c r="A316" s="31" t="s">
        <v>85</v>
      </c>
      <c r="B316" s="74"/>
      <c r="C316" s="32" t="s">
        <v>91</v>
      </c>
      <c r="D316" s="32" t="s">
        <v>40</v>
      </c>
      <c r="E316" s="32" t="s">
        <v>86</v>
      </c>
      <c r="F316" s="32"/>
      <c r="G316" s="33">
        <f>G317</f>
        <v>30148.875</v>
      </c>
    </row>
    <row r="317" spans="1:7" s="17" customFormat="1" ht="25.5" x14ac:dyDescent="0.2">
      <c r="A317" s="34" t="s">
        <v>87</v>
      </c>
      <c r="B317" s="73"/>
      <c r="C317" s="16" t="s">
        <v>91</v>
      </c>
      <c r="D317" s="16" t="s">
        <v>40</v>
      </c>
      <c r="E317" s="16" t="s">
        <v>88</v>
      </c>
      <c r="F317" s="16"/>
      <c r="G317" s="35">
        <f>G318+G331+G323+G328</f>
        <v>30148.875</v>
      </c>
    </row>
    <row r="318" spans="1:7" s="17" customFormat="1" ht="25.5" x14ac:dyDescent="0.2">
      <c r="A318" s="34" t="s">
        <v>271</v>
      </c>
      <c r="B318" s="73"/>
      <c r="C318" s="16" t="s">
        <v>91</v>
      </c>
      <c r="D318" s="16" t="s">
        <v>40</v>
      </c>
      <c r="E318" s="16" t="s">
        <v>89</v>
      </c>
      <c r="F318" s="16"/>
      <c r="G318" s="35">
        <f>G319+G321+G326</f>
        <v>20563.475000000002</v>
      </c>
    </row>
    <row r="319" spans="1:7" s="17" customFormat="1" ht="63.75" x14ac:dyDescent="0.2">
      <c r="A319" s="36" t="s">
        <v>245</v>
      </c>
      <c r="B319" s="73"/>
      <c r="C319" s="16" t="s">
        <v>91</v>
      </c>
      <c r="D319" s="16" t="s">
        <v>40</v>
      </c>
      <c r="E319" s="16" t="s">
        <v>89</v>
      </c>
      <c r="F319" s="16" t="s">
        <v>181</v>
      </c>
      <c r="G319" s="35">
        <f>G320</f>
        <v>13438.02</v>
      </c>
    </row>
    <row r="320" spans="1:7" s="17" customFormat="1" ht="12.75" x14ac:dyDescent="0.2">
      <c r="A320" s="36" t="s">
        <v>272</v>
      </c>
      <c r="B320" s="73"/>
      <c r="C320" s="16" t="s">
        <v>91</v>
      </c>
      <c r="D320" s="16" t="s">
        <v>40</v>
      </c>
      <c r="E320" s="16" t="s">
        <v>89</v>
      </c>
      <c r="F320" s="16" t="s">
        <v>273</v>
      </c>
      <c r="G320" s="35">
        <f>10294.178+35+3108.842</f>
        <v>13438.02</v>
      </c>
    </row>
    <row r="321" spans="1:7" s="17" customFormat="1" ht="25.5" x14ac:dyDescent="0.2">
      <c r="A321" s="36" t="s">
        <v>41</v>
      </c>
      <c r="B321" s="73"/>
      <c r="C321" s="16" t="s">
        <v>91</v>
      </c>
      <c r="D321" s="16" t="s">
        <v>40</v>
      </c>
      <c r="E321" s="16" t="s">
        <v>89</v>
      </c>
      <c r="F321" s="16" t="s">
        <v>174</v>
      </c>
      <c r="G321" s="35">
        <f>G322</f>
        <v>7124.4550000000008</v>
      </c>
    </row>
    <row r="322" spans="1:7" s="17" customFormat="1" ht="25.9" customHeight="1" x14ac:dyDescent="0.2">
      <c r="A322" s="36" t="s">
        <v>175</v>
      </c>
      <c r="B322" s="73"/>
      <c r="C322" s="16" t="s">
        <v>91</v>
      </c>
      <c r="D322" s="16" t="s">
        <v>40</v>
      </c>
      <c r="E322" s="16" t="s">
        <v>89</v>
      </c>
      <c r="F322" s="16" t="s">
        <v>176</v>
      </c>
      <c r="G322" s="35">
        <f>5276.655+1279.4+200-204.834+393.234+180</f>
        <v>7124.4550000000008</v>
      </c>
    </row>
    <row r="323" spans="1:7" s="17" customFormat="1" ht="25.5" hidden="1" x14ac:dyDescent="0.2">
      <c r="A323" s="34" t="s">
        <v>95</v>
      </c>
      <c r="B323" s="73"/>
      <c r="C323" s="16" t="s">
        <v>91</v>
      </c>
      <c r="D323" s="16" t="s">
        <v>40</v>
      </c>
      <c r="E323" s="77" t="s">
        <v>348</v>
      </c>
      <c r="F323" s="77"/>
      <c r="G323" s="35">
        <f>SUM(G325)</f>
        <v>0</v>
      </c>
    </row>
    <row r="324" spans="1:7" s="17" customFormat="1" ht="25.5" hidden="1" x14ac:dyDescent="0.2">
      <c r="A324" s="36" t="s">
        <v>41</v>
      </c>
      <c r="B324" s="73"/>
      <c r="C324" s="16" t="s">
        <v>91</v>
      </c>
      <c r="D324" s="16" t="s">
        <v>40</v>
      </c>
      <c r="E324" s="77" t="s">
        <v>348</v>
      </c>
      <c r="F324" s="77">
        <v>200</v>
      </c>
      <c r="G324" s="35">
        <f>G325</f>
        <v>0</v>
      </c>
    </row>
    <row r="325" spans="1:7" s="17" customFormat="1" ht="25.5" hidden="1" x14ac:dyDescent="0.2">
      <c r="A325" s="36" t="s">
        <v>175</v>
      </c>
      <c r="B325" s="73"/>
      <c r="C325" s="16" t="s">
        <v>91</v>
      </c>
      <c r="D325" s="16" t="s">
        <v>40</v>
      </c>
      <c r="E325" s="77" t="s">
        <v>348</v>
      </c>
      <c r="F325" s="77">
        <v>240</v>
      </c>
      <c r="G325" s="35">
        <v>0</v>
      </c>
    </row>
    <row r="326" spans="1:7" s="17" customFormat="1" ht="12.75" x14ac:dyDescent="0.2">
      <c r="A326" s="36" t="s">
        <v>43</v>
      </c>
      <c r="B326" s="73"/>
      <c r="C326" s="16" t="s">
        <v>91</v>
      </c>
      <c r="D326" s="16" t="s">
        <v>40</v>
      </c>
      <c r="E326" s="16" t="s">
        <v>89</v>
      </c>
      <c r="F326" s="16" t="s">
        <v>185</v>
      </c>
      <c r="G326" s="35">
        <f>G327</f>
        <v>1</v>
      </c>
    </row>
    <row r="327" spans="1:7" s="17" customFormat="1" ht="12" customHeight="1" x14ac:dyDescent="0.2">
      <c r="A327" s="36" t="s">
        <v>186</v>
      </c>
      <c r="B327" s="73"/>
      <c r="C327" s="16" t="s">
        <v>91</v>
      </c>
      <c r="D327" s="16" t="s">
        <v>40</v>
      </c>
      <c r="E327" s="16" t="s">
        <v>89</v>
      </c>
      <c r="F327" s="16" t="s">
        <v>187</v>
      </c>
      <c r="G327" s="35">
        <v>1</v>
      </c>
    </row>
    <row r="328" spans="1:7" s="17" customFormat="1" ht="25.5" hidden="1" x14ac:dyDescent="0.2">
      <c r="A328" s="34" t="s">
        <v>350</v>
      </c>
      <c r="B328" s="73"/>
      <c r="C328" s="16" t="s">
        <v>91</v>
      </c>
      <c r="D328" s="16" t="s">
        <v>40</v>
      </c>
      <c r="E328" s="77" t="s">
        <v>358</v>
      </c>
      <c r="F328" s="16"/>
      <c r="G328" s="35">
        <v>0</v>
      </c>
    </row>
    <row r="329" spans="1:7" s="17" customFormat="1" ht="25.5" hidden="1" x14ac:dyDescent="0.2">
      <c r="A329" s="36" t="s">
        <v>41</v>
      </c>
      <c r="B329" s="73"/>
      <c r="C329" s="16" t="s">
        <v>91</v>
      </c>
      <c r="D329" s="16" t="s">
        <v>40</v>
      </c>
      <c r="E329" s="77" t="s">
        <v>358</v>
      </c>
      <c r="F329" s="16" t="s">
        <v>174</v>
      </c>
      <c r="G329" s="35">
        <v>0</v>
      </c>
    </row>
    <row r="330" spans="1:7" s="17" customFormat="1" ht="25.5" hidden="1" x14ac:dyDescent="0.2">
      <c r="A330" s="36" t="s">
        <v>175</v>
      </c>
      <c r="B330" s="73"/>
      <c r="C330" s="16" t="s">
        <v>91</v>
      </c>
      <c r="D330" s="16" t="s">
        <v>40</v>
      </c>
      <c r="E330" s="77" t="s">
        <v>358</v>
      </c>
      <c r="F330" s="16" t="s">
        <v>176</v>
      </c>
      <c r="G330" s="35">
        <v>0</v>
      </c>
    </row>
    <row r="331" spans="1:7" s="17" customFormat="1" ht="63.75" x14ac:dyDescent="0.2">
      <c r="A331" s="34" t="s">
        <v>473</v>
      </c>
      <c r="B331" s="73"/>
      <c r="C331" s="16" t="s">
        <v>91</v>
      </c>
      <c r="D331" s="16" t="s">
        <v>40</v>
      </c>
      <c r="E331" s="16" t="s">
        <v>92</v>
      </c>
      <c r="F331" s="16"/>
      <c r="G331" s="35">
        <f>G332</f>
        <v>9585.3999999999978</v>
      </c>
    </row>
    <row r="332" spans="1:7" s="17" customFormat="1" ht="63.75" x14ac:dyDescent="0.2">
      <c r="A332" s="36" t="s">
        <v>245</v>
      </c>
      <c r="B332" s="73"/>
      <c r="C332" s="16" t="s">
        <v>91</v>
      </c>
      <c r="D332" s="16" t="s">
        <v>40</v>
      </c>
      <c r="E332" s="16" t="s">
        <v>92</v>
      </c>
      <c r="F332" s="16" t="s">
        <v>181</v>
      </c>
      <c r="G332" s="35">
        <f>G333</f>
        <v>9585.3999999999978</v>
      </c>
    </row>
    <row r="333" spans="1:7" s="17" customFormat="1" ht="12.75" x14ac:dyDescent="0.2">
      <c r="A333" s="36" t="s">
        <v>272</v>
      </c>
      <c r="B333" s="73"/>
      <c r="C333" s="16" t="s">
        <v>91</v>
      </c>
      <c r="D333" s="16" t="s">
        <v>40</v>
      </c>
      <c r="E333" s="16" t="s">
        <v>92</v>
      </c>
      <c r="F333" s="16" t="s">
        <v>273</v>
      </c>
      <c r="G333" s="35">
        <f>4957.9+4957.9-165.2-165.2</f>
        <v>9585.3999999999978</v>
      </c>
    </row>
    <row r="334" spans="1:7" s="17" customFormat="1" ht="38.25" x14ac:dyDescent="0.2">
      <c r="A334" s="42" t="s">
        <v>274</v>
      </c>
      <c r="B334" s="75"/>
      <c r="C334" s="61" t="s">
        <v>91</v>
      </c>
      <c r="D334" s="61" t="s">
        <v>40</v>
      </c>
      <c r="E334" s="61" t="s">
        <v>94</v>
      </c>
      <c r="F334" s="61"/>
      <c r="G334" s="33">
        <f>G335</f>
        <v>1477.145</v>
      </c>
    </row>
    <row r="335" spans="1:7" s="17" customFormat="1" ht="25.5" x14ac:dyDescent="0.2">
      <c r="A335" s="34" t="s">
        <v>95</v>
      </c>
      <c r="B335" s="75"/>
      <c r="C335" s="39" t="s">
        <v>91</v>
      </c>
      <c r="D335" s="39" t="s">
        <v>40</v>
      </c>
      <c r="E335" s="39" t="s">
        <v>96</v>
      </c>
      <c r="F335" s="61"/>
      <c r="G335" s="35">
        <f>SUM(G336)</f>
        <v>1477.145</v>
      </c>
    </row>
    <row r="336" spans="1:7" s="17" customFormat="1" ht="21" customHeight="1" x14ac:dyDescent="0.2">
      <c r="A336" s="34" t="s">
        <v>97</v>
      </c>
      <c r="B336" s="76"/>
      <c r="C336" s="39" t="s">
        <v>91</v>
      </c>
      <c r="D336" s="39" t="s">
        <v>40</v>
      </c>
      <c r="E336" s="39" t="s">
        <v>98</v>
      </c>
      <c r="F336" s="39"/>
      <c r="G336" s="35">
        <f>SUM(G338)</f>
        <v>1477.145</v>
      </c>
    </row>
    <row r="337" spans="1:7" s="17" customFormat="1" ht="25.5" x14ac:dyDescent="0.2">
      <c r="A337" s="36" t="s">
        <v>41</v>
      </c>
      <c r="B337" s="76"/>
      <c r="C337" s="39" t="s">
        <v>91</v>
      </c>
      <c r="D337" s="39" t="s">
        <v>40</v>
      </c>
      <c r="E337" s="39" t="s">
        <v>98</v>
      </c>
      <c r="F337" s="39" t="s">
        <v>174</v>
      </c>
      <c r="G337" s="35">
        <f>G338</f>
        <v>1477.145</v>
      </c>
    </row>
    <row r="338" spans="1:7" s="17" customFormat="1" ht="30.75" customHeight="1" x14ac:dyDescent="0.2">
      <c r="A338" s="62" t="s">
        <v>175</v>
      </c>
      <c r="B338" s="76"/>
      <c r="C338" s="39" t="s">
        <v>91</v>
      </c>
      <c r="D338" s="39" t="s">
        <v>40</v>
      </c>
      <c r="E338" s="39" t="s">
        <v>98</v>
      </c>
      <c r="F338" s="39" t="s">
        <v>176</v>
      </c>
      <c r="G338" s="35">
        <f>1541.875+671-342.496-393.234</f>
        <v>1477.145</v>
      </c>
    </row>
    <row r="339" spans="1:7" s="55" customFormat="1" ht="43.5" hidden="1" customHeight="1" x14ac:dyDescent="0.2">
      <c r="A339" s="169" t="s">
        <v>250</v>
      </c>
      <c r="B339" s="74"/>
      <c r="C339" s="19" t="s">
        <v>91</v>
      </c>
      <c r="D339" s="19" t="s">
        <v>40</v>
      </c>
      <c r="E339" s="19" t="s">
        <v>208</v>
      </c>
      <c r="F339" s="19"/>
      <c r="G339" s="30">
        <f>G340</f>
        <v>0</v>
      </c>
    </row>
    <row r="340" spans="1:7" s="55" customFormat="1" ht="20.25" hidden="1" customHeight="1" x14ac:dyDescent="0.2">
      <c r="A340" s="172" t="s">
        <v>16</v>
      </c>
      <c r="B340" s="32"/>
      <c r="C340" s="32" t="s">
        <v>91</v>
      </c>
      <c r="D340" s="32" t="s">
        <v>40</v>
      </c>
      <c r="E340" s="32" t="s">
        <v>208</v>
      </c>
      <c r="F340" s="173"/>
      <c r="G340" s="33">
        <f>G341</f>
        <v>0</v>
      </c>
    </row>
    <row r="341" spans="1:7" s="55" customFormat="1" ht="24.75" hidden="1" customHeight="1" x14ac:dyDescent="0.2">
      <c r="A341" s="108" t="s">
        <v>16</v>
      </c>
      <c r="B341" s="16"/>
      <c r="C341" s="16" t="s">
        <v>91</v>
      </c>
      <c r="D341" s="16" t="s">
        <v>40</v>
      </c>
      <c r="E341" s="16" t="s">
        <v>209</v>
      </c>
      <c r="F341" s="173"/>
      <c r="G341" s="33">
        <f>G342</f>
        <v>0</v>
      </c>
    </row>
    <row r="342" spans="1:7" s="17" customFormat="1" ht="33" hidden="1" customHeight="1" x14ac:dyDescent="0.2">
      <c r="A342" s="34" t="s">
        <v>95</v>
      </c>
      <c r="B342" s="73"/>
      <c r="C342" s="16" t="s">
        <v>91</v>
      </c>
      <c r="D342" s="16" t="s">
        <v>40</v>
      </c>
      <c r="E342" s="77" t="s">
        <v>241</v>
      </c>
      <c r="F342" s="77"/>
      <c r="G342" s="35">
        <f>SUM(G344)</f>
        <v>0</v>
      </c>
    </row>
    <row r="343" spans="1:7" s="17" customFormat="1" ht="32.25" hidden="1" customHeight="1" x14ac:dyDescent="0.2">
      <c r="A343" s="36" t="s">
        <v>41</v>
      </c>
      <c r="B343" s="73"/>
      <c r="C343" s="16" t="s">
        <v>91</v>
      </c>
      <c r="D343" s="16" t="s">
        <v>40</v>
      </c>
      <c r="E343" s="77" t="s">
        <v>241</v>
      </c>
      <c r="F343" s="77">
        <v>200</v>
      </c>
      <c r="G343" s="35">
        <f>G344</f>
        <v>0</v>
      </c>
    </row>
    <row r="344" spans="1:7" s="17" customFormat="1" ht="33.75" hidden="1" customHeight="1" x14ac:dyDescent="0.2">
      <c r="A344" s="36" t="s">
        <v>175</v>
      </c>
      <c r="B344" s="73"/>
      <c r="C344" s="16" t="s">
        <v>91</v>
      </c>
      <c r="D344" s="16" t="s">
        <v>40</v>
      </c>
      <c r="E344" s="77" t="s">
        <v>241</v>
      </c>
      <c r="F344" s="77">
        <v>240</v>
      </c>
      <c r="G344" s="35">
        <v>0</v>
      </c>
    </row>
    <row r="345" spans="1:7" s="17" customFormat="1" ht="33" hidden="1" customHeight="1" x14ac:dyDescent="0.2">
      <c r="A345" s="169" t="s">
        <v>250</v>
      </c>
      <c r="B345" s="74"/>
      <c r="C345" s="39" t="s">
        <v>91</v>
      </c>
      <c r="D345" s="39" t="s">
        <v>40</v>
      </c>
      <c r="E345" s="19" t="s">
        <v>208</v>
      </c>
      <c r="F345" s="19"/>
      <c r="G345" s="30">
        <f>G346</f>
        <v>0</v>
      </c>
    </row>
    <row r="346" spans="1:7" s="17" customFormat="1" ht="30.75" hidden="1" customHeight="1" x14ac:dyDescent="0.2">
      <c r="A346" s="172" t="s">
        <v>16</v>
      </c>
      <c r="B346" s="32"/>
      <c r="C346" s="39" t="s">
        <v>91</v>
      </c>
      <c r="D346" s="39" t="s">
        <v>40</v>
      </c>
      <c r="E346" s="32" t="s">
        <v>208</v>
      </c>
      <c r="F346" s="173"/>
      <c r="G346" s="33">
        <f>G347</f>
        <v>0</v>
      </c>
    </row>
    <row r="347" spans="1:7" s="17" customFormat="1" ht="30" hidden="1" customHeight="1" x14ac:dyDescent="0.2">
      <c r="A347" s="108" t="s">
        <v>16</v>
      </c>
      <c r="B347" s="16"/>
      <c r="C347" s="39" t="s">
        <v>91</v>
      </c>
      <c r="D347" s="39" t="s">
        <v>40</v>
      </c>
      <c r="E347" s="16" t="s">
        <v>209</v>
      </c>
      <c r="F347" s="173"/>
      <c r="G347" s="33">
        <f>G348</f>
        <v>0</v>
      </c>
    </row>
    <row r="348" spans="1:7" s="17" customFormat="1" ht="28.5" hidden="1" customHeight="1" x14ac:dyDescent="0.2">
      <c r="A348" s="34" t="s">
        <v>350</v>
      </c>
      <c r="B348" s="73"/>
      <c r="C348" s="39" t="s">
        <v>91</v>
      </c>
      <c r="D348" s="39" t="s">
        <v>40</v>
      </c>
      <c r="E348" s="77" t="s">
        <v>349</v>
      </c>
      <c r="F348" s="77"/>
      <c r="G348" s="35">
        <f>SUM(G350)</f>
        <v>0</v>
      </c>
    </row>
    <row r="349" spans="1:7" s="17" customFormat="1" ht="25.5" hidden="1" customHeight="1" x14ac:dyDescent="0.2">
      <c r="A349" s="36" t="s">
        <v>41</v>
      </c>
      <c r="B349" s="73"/>
      <c r="C349" s="39" t="s">
        <v>91</v>
      </c>
      <c r="D349" s="39" t="s">
        <v>40</v>
      </c>
      <c r="E349" s="77" t="s">
        <v>349</v>
      </c>
      <c r="F349" s="77">
        <v>200</v>
      </c>
      <c r="G349" s="35">
        <f>G350</f>
        <v>0</v>
      </c>
    </row>
    <row r="350" spans="1:7" s="17" customFormat="1" ht="24.75" hidden="1" customHeight="1" x14ac:dyDescent="0.2">
      <c r="A350" s="36" t="s">
        <v>175</v>
      </c>
      <c r="B350" s="73"/>
      <c r="C350" s="39" t="s">
        <v>91</v>
      </c>
      <c r="D350" s="39" t="s">
        <v>40</v>
      </c>
      <c r="E350" s="77" t="s">
        <v>349</v>
      </c>
      <c r="F350" s="77">
        <v>240</v>
      </c>
      <c r="G350" s="35">
        <v>0</v>
      </c>
    </row>
    <row r="351" spans="1:7" s="17" customFormat="1" ht="18.75" customHeight="1" x14ac:dyDescent="0.2">
      <c r="A351" s="22" t="s">
        <v>454</v>
      </c>
      <c r="B351" s="23"/>
      <c r="C351" s="23" t="s">
        <v>236</v>
      </c>
      <c r="D351" s="23"/>
      <c r="E351" s="23"/>
      <c r="F351" s="23"/>
      <c r="G351" s="54">
        <f>G352+G359</f>
        <v>2744.5070000000001</v>
      </c>
    </row>
    <row r="352" spans="1:7" s="17" customFormat="1" ht="13.5" x14ac:dyDescent="0.2">
      <c r="A352" s="26" t="s">
        <v>235</v>
      </c>
      <c r="B352" s="27"/>
      <c r="C352" s="27" t="s">
        <v>236</v>
      </c>
      <c r="D352" s="27" t="s">
        <v>40</v>
      </c>
      <c r="E352" s="27"/>
      <c r="F352" s="27"/>
      <c r="G352" s="28">
        <f>G353</f>
        <v>1227.268</v>
      </c>
    </row>
    <row r="353" spans="1:7" s="17" customFormat="1" ht="38.25" x14ac:dyDescent="0.2">
      <c r="A353" s="18" t="s">
        <v>250</v>
      </c>
      <c r="B353" s="27"/>
      <c r="C353" s="19" t="s">
        <v>236</v>
      </c>
      <c r="D353" s="19" t="s">
        <v>40</v>
      </c>
      <c r="E353" s="19" t="s">
        <v>207</v>
      </c>
      <c r="F353" s="27"/>
      <c r="G353" s="30">
        <f>SUM(G354)</f>
        <v>1227.268</v>
      </c>
    </row>
    <row r="354" spans="1:7" s="17" customFormat="1" ht="13.5" x14ac:dyDescent="0.2">
      <c r="A354" s="65" t="s">
        <v>16</v>
      </c>
      <c r="B354" s="27"/>
      <c r="C354" s="32" t="s">
        <v>236</v>
      </c>
      <c r="D354" s="32" t="s">
        <v>40</v>
      </c>
      <c r="E354" s="32" t="s">
        <v>208</v>
      </c>
      <c r="F354" s="27"/>
      <c r="G354" s="33">
        <f>G355</f>
        <v>1227.268</v>
      </c>
    </row>
    <row r="355" spans="1:7" s="17" customFormat="1" ht="13.5" x14ac:dyDescent="0.2">
      <c r="A355" s="68" t="s">
        <v>16</v>
      </c>
      <c r="B355" s="27"/>
      <c r="C355" s="16" t="s">
        <v>236</v>
      </c>
      <c r="D355" s="16" t="s">
        <v>40</v>
      </c>
      <c r="E355" s="16" t="s">
        <v>209</v>
      </c>
      <c r="F355" s="27"/>
      <c r="G355" s="35">
        <f>G356</f>
        <v>1227.268</v>
      </c>
    </row>
    <row r="356" spans="1:7" s="17" customFormat="1" ht="12.75" x14ac:dyDescent="0.2">
      <c r="A356" s="34" t="s">
        <v>231</v>
      </c>
      <c r="B356" s="16"/>
      <c r="C356" s="16" t="s">
        <v>236</v>
      </c>
      <c r="D356" s="16" t="s">
        <v>40</v>
      </c>
      <c r="E356" s="16" t="s">
        <v>232</v>
      </c>
      <c r="F356" s="16"/>
      <c r="G356" s="35">
        <f>G358</f>
        <v>1227.268</v>
      </c>
    </row>
    <row r="357" spans="1:7" s="17" customFormat="1" ht="12.75" x14ac:dyDescent="0.2">
      <c r="A357" s="78" t="s">
        <v>61</v>
      </c>
      <c r="B357" s="16"/>
      <c r="C357" s="16" t="s">
        <v>236</v>
      </c>
      <c r="D357" s="16" t="s">
        <v>40</v>
      </c>
      <c r="E357" s="16" t="s">
        <v>232</v>
      </c>
      <c r="F357" s="16" t="s">
        <v>233</v>
      </c>
      <c r="G357" s="35">
        <f>G358</f>
        <v>1227.268</v>
      </c>
    </row>
    <row r="358" spans="1:7" s="17" customFormat="1" ht="25.5" x14ac:dyDescent="0.2">
      <c r="A358" s="79" t="s">
        <v>275</v>
      </c>
      <c r="B358" s="16"/>
      <c r="C358" s="16" t="s">
        <v>236</v>
      </c>
      <c r="D358" s="16" t="s">
        <v>40</v>
      </c>
      <c r="E358" s="16" t="s">
        <v>232</v>
      </c>
      <c r="F358" s="16" t="s">
        <v>234</v>
      </c>
      <c r="G358" s="35">
        <v>1227.268</v>
      </c>
    </row>
    <row r="359" spans="1:7" s="17" customFormat="1" ht="23.1" customHeight="1" x14ac:dyDescent="0.2">
      <c r="A359" s="26" t="s">
        <v>435</v>
      </c>
      <c r="B359" s="27"/>
      <c r="C359" s="27" t="s">
        <v>236</v>
      </c>
      <c r="D359" s="27" t="s">
        <v>52</v>
      </c>
      <c r="E359" s="27"/>
      <c r="F359" s="27"/>
      <c r="G359" s="28">
        <f>G360</f>
        <v>1517.239</v>
      </c>
    </row>
    <row r="360" spans="1:7" s="17" customFormat="1" ht="76.150000000000006" customHeight="1" x14ac:dyDescent="0.2">
      <c r="A360" s="117" t="s">
        <v>356</v>
      </c>
      <c r="B360" s="27"/>
      <c r="C360" s="19" t="s">
        <v>236</v>
      </c>
      <c r="D360" s="19" t="s">
        <v>52</v>
      </c>
      <c r="E360" s="19" t="s">
        <v>54</v>
      </c>
      <c r="F360" s="27"/>
      <c r="G360" s="30">
        <f>G363</f>
        <v>1517.239</v>
      </c>
    </row>
    <row r="361" spans="1:7" s="17" customFormat="1" ht="67.900000000000006" hidden="1" customHeight="1" x14ac:dyDescent="0.2">
      <c r="A361" s="31" t="s">
        <v>345</v>
      </c>
      <c r="B361" s="27"/>
      <c r="C361" s="16" t="s">
        <v>236</v>
      </c>
      <c r="D361" s="16" t="s">
        <v>64</v>
      </c>
      <c r="E361" s="32" t="s">
        <v>56</v>
      </c>
      <c r="F361" s="27"/>
      <c r="G361" s="33">
        <v>0</v>
      </c>
    </row>
    <row r="362" spans="1:7" s="17" customFormat="1" ht="68.650000000000006" hidden="1" customHeight="1" x14ac:dyDescent="0.2">
      <c r="A362" s="34" t="s">
        <v>346</v>
      </c>
      <c r="B362" s="27"/>
      <c r="C362" s="16" t="s">
        <v>236</v>
      </c>
      <c r="D362" s="16" t="s">
        <v>64</v>
      </c>
      <c r="E362" s="16" t="s">
        <v>58</v>
      </c>
      <c r="F362" s="16"/>
      <c r="G362" s="35">
        <v>0</v>
      </c>
    </row>
    <row r="363" spans="1:7" s="17" customFormat="1" ht="42.2" customHeight="1" x14ac:dyDescent="0.2">
      <c r="A363" s="34" t="s">
        <v>357</v>
      </c>
      <c r="B363" s="16"/>
      <c r="C363" s="16" t="s">
        <v>236</v>
      </c>
      <c r="D363" s="16" t="s">
        <v>52</v>
      </c>
      <c r="E363" s="16" t="s">
        <v>434</v>
      </c>
      <c r="F363" s="16"/>
      <c r="G363" s="35">
        <f>G364</f>
        <v>1517.239</v>
      </c>
    </row>
    <row r="364" spans="1:7" s="17" customFormat="1" ht="20.45" customHeight="1" x14ac:dyDescent="0.2">
      <c r="A364" s="78" t="s">
        <v>61</v>
      </c>
      <c r="B364" s="16"/>
      <c r="C364" s="16" t="s">
        <v>236</v>
      </c>
      <c r="D364" s="16" t="s">
        <v>52</v>
      </c>
      <c r="E364" s="16" t="s">
        <v>434</v>
      </c>
      <c r="F364" s="16" t="s">
        <v>233</v>
      </c>
      <c r="G364" s="35">
        <f>G365</f>
        <v>1517.239</v>
      </c>
    </row>
    <row r="365" spans="1:7" s="17" customFormat="1" ht="28.5" customHeight="1" x14ac:dyDescent="0.2">
      <c r="A365" s="78" t="s">
        <v>62</v>
      </c>
      <c r="B365" s="16"/>
      <c r="C365" s="16" t="s">
        <v>236</v>
      </c>
      <c r="D365" s="16" t="s">
        <v>52</v>
      </c>
      <c r="E365" s="16" t="s">
        <v>434</v>
      </c>
      <c r="F365" s="16" t="s">
        <v>234</v>
      </c>
      <c r="G365" s="35">
        <f>1330.949+1395.859-1209.569</f>
        <v>1517.239</v>
      </c>
    </row>
    <row r="366" spans="1:7" s="17" customFormat="1" ht="75.400000000000006" hidden="1" customHeight="1" x14ac:dyDescent="0.2">
      <c r="A366" s="31" t="s">
        <v>65</v>
      </c>
      <c r="B366" s="32"/>
      <c r="C366" s="32" t="s">
        <v>236</v>
      </c>
      <c r="D366" s="32" t="s">
        <v>64</v>
      </c>
      <c r="E366" s="32" t="s">
        <v>66</v>
      </c>
      <c r="F366" s="32"/>
      <c r="G366" s="33">
        <f>G367</f>
        <v>0</v>
      </c>
    </row>
    <row r="367" spans="1:7" s="17" customFormat="1" ht="33.950000000000003" hidden="1" customHeight="1" x14ac:dyDescent="0.2">
      <c r="A367" s="108" t="s">
        <v>67</v>
      </c>
      <c r="B367" s="16"/>
      <c r="C367" s="16" t="s">
        <v>236</v>
      </c>
      <c r="D367" s="16" t="s">
        <v>64</v>
      </c>
      <c r="E367" s="16" t="s">
        <v>68</v>
      </c>
      <c r="F367" s="16"/>
      <c r="G367" s="35">
        <f>G368</f>
        <v>0</v>
      </c>
    </row>
    <row r="368" spans="1:7" s="17" customFormat="1" ht="33.950000000000003" hidden="1" customHeight="1" x14ac:dyDescent="0.2">
      <c r="A368" s="109" t="s">
        <v>69</v>
      </c>
      <c r="B368" s="16"/>
      <c r="C368" s="16" t="s">
        <v>236</v>
      </c>
      <c r="D368" s="16" t="s">
        <v>64</v>
      </c>
      <c r="E368" s="16" t="s">
        <v>70</v>
      </c>
      <c r="F368" s="16"/>
      <c r="G368" s="35">
        <f>G369</f>
        <v>0</v>
      </c>
    </row>
    <row r="369" spans="1:7" s="17" customFormat="1" ht="28.5" hidden="1" customHeight="1" x14ac:dyDescent="0.2">
      <c r="A369" s="36" t="s">
        <v>61</v>
      </c>
      <c r="B369" s="16"/>
      <c r="C369" s="16" t="s">
        <v>236</v>
      </c>
      <c r="D369" s="16" t="s">
        <v>64</v>
      </c>
      <c r="E369" s="16" t="s">
        <v>70</v>
      </c>
      <c r="F369" s="16" t="s">
        <v>233</v>
      </c>
      <c r="G369" s="35">
        <f>G370</f>
        <v>0</v>
      </c>
    </row>
    <row r="370" spans="1:7" s="17" customFormat="1" ht="28.5" hidden="1" customHeight="1" x14ac:dyDescent="0.2">
      <c r="A370" s="36" t="s">
        <v>275</v>
      </c>
      <c r="B370" s="16"/>
      <c r="C370" s="16" t="s">
        <v>236</v>
      </c>
      <c r="D370" s="16" t="s">
        <v>64</v>
      </c>
      <c r="E370" s="16" t="s">
        <v>70</v>
      </c>
      <c r="F370" s="16" t="s">
        <v>234</v>
      </c>
      <c r="G370" s="35">
        <v>0</v>
      </c>
    </row>
    <row r="371" spans="1:7" s="17" customFormat="1" ht="21" customHeight="1" x14ac:dyDescent="0.2">
      <c r="A371" s="22" t="s">
        <v>276</v>
      </c>
      <c r="B371" s="23"/>
      <c r="C371" s="23" t="s">
        <v>39</v>
      </c>
      <c r="D371" s="23"/>
      <c r="E371" s="23"/>
      <c r="F371" s="23"/>
      <c r="G371" s="54">
        <f>G372</f>
        <v>44370.020000000004</v>
      </c>
    </row>
    <row r="372" spans="1:7" s="17" customFormat="1" ht="13.5" x14ac:dyDescent="0.2">
      <c r="A372" s="58" t="s">
        <v>38</v>
      </c>
      <c r="B372" s="76"/>
      <c r="C372" s="59" t="s">
        <v>39</v>
      </c>
      <c r="D372" s="59" t="s">
        <v>40</v>
      </c>
      <c r="E372" s="57"/>
      <c r="F372" s="57"/>
      <c r="G372" s="28">
        <f>G373</f>
        <v>44370.020000000004</v>
      </c>
    </row>
    <row r="373" spans="1:7" s="17" customFormat="1" ht="38.25" x14ac:dyDescent="0.2">
      <c r="A373" s="18" t="s">
        <v>28</v>
      </c>
      <c r="B373" s="73"/>
      <c r="C373" s="19" t="s">
        <v>39</v>
      </c>
      <c r="D373" s="19" t="s">
        <v>40</v>
      </c>
      <c r="E373" s="19" t="s">
        <v>29</v>
      </c>
      <c r="F373" s="19"/>
      <c r="G373" s="30">
        <f>G374+G391+G383</f>
        <v>44370.020000000004</v>
      </c>
    </row>
    <row r="374" spans="1:7" s="17" customFormat="1" ht="38.25" x14ac:dyDescent="0.2">
      <c r="A374" s="31" t="s">
        <v>30</v>
      </c>
      <c r="B374" s="74"/>
      <c r="C374" s="32" t="s">
        <v>39</v>
      </c>
      <c r="D374" s="32" t="s">
        <v>40</v>
      </c>
      <c r="E374" s="32" t="s">
        <v>31</v>
      </c>
      <c r="F374" s="32"/>
      <c r="G374" s="33">
        <f>SUM(G375)</f>
        <v>26794.545000000002</v>
      </c>
    </row>
    <row r="375" spans="1:7" s="17" customFormat="1" ht="25.5" x14ac:dyDescent="0.2">
      <c r="A375" s="34" t="s">
        <v>32</v>
      </c>
      <c r="B375" s="74"/>
      <c r="C375" s="16" t="s">
        <v>39</v>
      </c>
      <c r="D375" s="16" t="s">
        <v>40</v>
      </c>
      <c r="E375" s="16" t="s">
        <v>33</v>
      </c>
      <c r="F375" s="32"/>
      <c r="G375" s="35">
        <f>G376</f>
        <v>26794.545000000002</v>
      </c>
    </row>
    <row r="376" spans="1:7" s="17" customFormat="1" ht="25.5" x14ac:dyDescent="0.2">
      <c r="A376" s="34" t="s">
        <v>34</v>
      </c>
      <c r="B376" s="73"/>
      <c r="C376" s="16" t="s">
        <v>39</v>
      </c>
      <c r="D376" s="16" t="s">
        <v>40</v>
      </c>
      <c r="E376" s="16" t="s">
        <v>35</v>
      </c>
      <c r="F376" s="16"/>
      <c r="G376" s="35">
        <f>G378+G380+G382</f>
        <v>26794.545000000002</v>
      </c>
    </row>
    <row r="377" spans="1:7" s="17" customFormat="1" ht="63.75" x14ac:dyDescent="0.2">
      <c r="A377" s="36" t="s">
        <v>245</v>
      </c>
      <c r="B377" s="73"/>
      <c r="C377" s="16" t="s">
        <v>39</v>
      </c>
      <c r="D377" s="16" t="s">
        <v>40</v>
      </c>
      <c r="E377" s="16" t="s">
        <v>35</v>
      </c>
      <c r="F377" s="16" t="s">
        <v>181</v>
      </c>
      <c r="G377" s="80">
        <f>G378</f>
        <v>15289.2</v>
      </c>
    </row>
    <row r="378" spans="1:7" s="17" customFormat="1" ht="12.75" x14ac:dyDescent="0.2">
      <c r="A378" s="36" t="s">
        <v>272</v>
      </c>
      <c r="B378" s="73"/>
      <c r="C378" s="16" t="s">
        <v>39</v>
      </c>
      <c r="D378" s="16" t="s">
        <v>40</v>
      </c>
      <c r="E378" s="16" t="s">
        <v>35</v>
      </c>
      <c r="F378" s="16" t="s">
        <v>273</v>
      </c>
      <c r="G378" s="80">
        <f>14842.5+556.1-84-25.4</f>
        <v>15289.2</v>
      </c>
    </row>
    <row r="379" spans="1:7" s="17" customFormat="1" ht="25.5" x14ac:dyDescent="0.2">
      <c r="A379" s="36" t="s">
        <v>41</v>
      </c>
      <c r="B379" s="73"/>
      <c r="C379" s="16" t="s">
        <v>39</v>
      </c>
      <c r="D379" s="16" t="s">
        <v>40</v>
      </c>
      <c r="E379" s="16" t="s">
        <v>35</v>
      </c>
      <c r="F379" s="16" t="s">
        <v>174</v>
      </c>
      <c r="G379" s="80">
        <f>G380</f>
        <v>11113.415000000001</v>
      </c>
    </row>
    <row r="380" spans="1:7" s="17" customFormat="1" ht="25.5" x14ac:dyDescent="0.2">
      <c r="A380" s="36" t="s">
        <v>175</v>
      </c>
      <c r="B380" s="73"/>
      <c r="C380" s="16" t="s">
        <v>39</v>
      </c>
      <c r="D380" s="16" t="s">
        <v>40</v>
      </c>
      <c r="E380" s="16" t="s">
        <v>35</v>
      </c>
      <c r="F380" s="16" t="s">
        <v>176</v>
      </c>
      <c r="G380" s="80">
        <f>9287.895+1667.8-2000+4423.6-17.249-71.398-2177.233</f>
        <v>11113.415000000001</v>
      </c>
    </row>
    <row r="381" spans="1:7" s="17" customFormat="1" ht="12.75" x14ac:dyDescent="0.2">
      <c r="A381" s="36" t="s">
        <v>43</v>
      </c>
      <c r="B381" s="73"/>
      <c r="C381" s="16" t="s">
        <v>39</v>
      </c>
      <c r="D381" s="16" t="s">
        <v>40</v>
      </c>
      <c r="E381" s="16" t="s">
        <v>35</v>
      </c>
      <c r="F381" s="16" t="s">
        <v>277</v>
      </c>
      <c r="G381" s="80">
        <f>G382</f>
        <v>391.93</v>
      </c>
    </row>
    <row r="382" spans="1:7" s="17" customFormat="1" ht="12.75" x14ac:dyDescent="0.2">
      <c r="A382" s="36" t="s">
        <v>186</v>
      </c>
      <c r="B382" s="73"/>
      <c r="C382" s="16" t="s">
        <v>39</v>
      </c>
      <c r="D382" s="16" t="s">
        <v>40</v>
      </c>
      <c r="E382" s="16" t="s">
        <v>35</v>
      </c>
      <c r="F382" s="16" t="s">
        <v>187</v>
      </c>
      <c r="G382" s="80">
        <f>45+346.93</f>
        <v>391.93</v>
      </c>
    </row>
    <row r="383" spans="1:7" s="17" customFormat="1" ht="38.25" x14ac:dyDescent="0.2">
      <c r="A383" s="201" t="s">
        <v>329</v>
      </c>
      <c r="B383" s="73"/>
      <c r="C383" s="32" t="s">
        <v>324</v>
      </c>
      <c r="D383" s="32" t="s">
        <v>40</v>
      </c>
      <c r="E383" s="32" t="s">
        <v>325</v>
      </c>
      <c r="F383" s="16"/>
      <c r="G383" s="80">
        <f>G384</f>
        <v>17074.358</v>
      </c>
    </row>
    <row r="384" spans="1:7" s="17" customFormat="1" ht="24.75" customHeight="1" x14ac:dyDescent="0.2">
      <c r="A384" s="200" t="s">
        <v>330</v>
      </c>
      <c r="B384" s="73"/>
      <c r="C384" s="16" t="s">
        <v>39</v>
      </c>
      <c r="D384" s="16" t="s">
        <v>40</v>
      </c>
      <c r="E384" s="16" t="s">
        <v>326</v>
      </c>
      <c r="F384" s="16"/>
      <c r="G384" s="80">
        <f>G385+G388</f>
        <v>17074.358</v>
      </c>
    </row>
    <row r="385" spans="1:7" s="17" customFormat="1" ht="34.5" customHeight="1" x14ac:dyDescent="0.2">
      <c r="A385" s="200" t="s">
        <v>331</v>
      </c>
      <c r="B385" s="73"/>
      <c r="C385" s="16" t="s">
        <v>324</v>
      </c>
      <c r="D385" s="16" t="s">
        <v>40</v>
      </c>
      <c r="E385" s="16" t="s">
        <v>327</v>
      </c>
      <c r="F385" s="16"/>
      <c r="G385" s="80">
        <f>G386</f>
        <v>1288.1679999999999</v>
      </c>
    </row>
    <row r="386" spans="1:7" s="17" customFormat="1" ht="35.25" customHeight="1" x14ac:dyDescent="0.2">
      <c r="A386" s="36" t="s">
        <v>41</v>
      </c>
      <c r="B386" s="73"/>
      <c r="C386" s="16" t="s">
        <v>39</v>
      </c>
      <c r="D386" s="16" t="s">
        <v>40</v>
      </c>
      <c r="E386" s="16" t="s">
        <v>327</v>
      </c>
      <c r="F386" s="16" t="s">
        <v>174</v>
      </c>
      <c r="G386" s="80">
        <f>G387</f>
        <v>1288.1679999999999</v>
      </c>
    </row>
    <row r="387" spans="1:7" s="17" customFormat="1" ht="29.25" customHeight="1" x14ac:dyDescent="0.2">
      <c r="A387" s="36" t="s">
        <v>175</v>
      </c>
      <c r="B387" s="73"/>
      <c r="C387" s="16" t="s">
        <v>39</v>
      </c>
      <c r="D387" s="16" t="s">
        <v>40</v>
      </c>
      <c r="E387" s="16" t="s">
        <v>327</v>
      </c>
      <c r="F387" s="16" t="s">
        <v>176</v>
      </c>
      <c r="G387" s="80">
        <v>1288.1679999999999</v>
      </c>
    </row>
    <row r="388" spans="1:7" s="17" customFormat="1" ht="29.85" customHeight="1" x14ac:dyDescent="0.2">
      <c r="A388" s="200" t="s">
        <v>332</v>
      </c>
      <c r="B388" s="73"/>
      <c r="C388" s="16" t="s">
        <v>39</v>
      </c>
      <c r="D388" s="16" t="s">
        <v>40</v>
      </c>
      <c r="E388" s="16" t="s">
        <v>328</v>
      </c>
      <c r="F388" s="16"/>
      <c r="G388" s="80">
        <f>G389</f>
        <v>15786.19</v>
      </c>
    </row>
    <row r="389" spans="1:7" s="17" customFormat="1" ht="29.85" customHeight="1" x14ac:dyDescent="0.2">
      <c r="A389" s="200" t="s">
        <v>265</v>
      </c>
      <c r="B389" s="73"/>
      <c r="C389" s="16" t="s">
        <v>39</v>
      </c>
      <c r="D389" s="16" t="s">
        <v>40</v>
      </c>
      <c r="E389" s="16" t="s">
        <v>328</v>
      </c>
      <c r="F389" s="16" t="s">
        <v>263</v>
      </c>
      <c r="G389" s="80">
        <f>G390</f>
        <v>15786.19</v>
      </c>
    </row>
    <row r="390" spans="1:7" s="17" customFormat="1" ht="19.149999999999999" customHeight="1" x14ac:dyDescent="0.2">
      <c r="A390" s="200" t="s">
        <v>140</v>
      </c>
      <c r="B390" s="73"/>
      <c r="C390" s="16" t="s">
        <v>39</v>
      </c>
      <c r="D390" s="16" t="s">
        <v>40</v>
      </c>
      <c r="E390" s="16" t="s">
        <v>328</v>
      </c>
      <c r="F390" s="16" t="s">
        <v>264</v>
      </c>
      <c r="G390" s="80">
        <f>3872+2562.52+13037.39-3685.72</f>
        <v>15786.19</v>
      </c>
    </row>
    <row r="391" spans="1:7" s="17" customFormat="1" ht="38.25" x14ac:dyDescent="0.2">
      <c r="A391" s="31" t="s">
        <v>278</v>
      </c>
      <c r="B391" s="74"/>
      <c r="C391" s="32" t="s">
        <v>39</v>
      </c>
      <c r="D391" s="61" t="s">
        <v>40</v>
      </c>
      <c r="E391" s="32" t="s">
        <v>46</v>
      </c>
      <c r="F391" s="32"/>
      <c r="G391" s="33">
        <f>G392</f>
        <v>501.11700000000002</v>
      </c>
    </row>
    <row r="392" spans="1:7" s="17" customFormat="1" ht="38.25" x14ac:dyDescent="0.2">
      <c r="A392" s="34" t="s">
        <v>47</v>
      </c>
      <c r="B392" s="74"/>
      <c r="C392" s="16" t="s">
        <v>39</v>
      </c>
      <c r="D392" s="39" t="s">
        <v>40</v>
      </c>
      <c r="E392" s="16" t="s">
        <v>48</v>
      </c>
      <c r="F392" s="32"/>
      <c r="G392" s="35">
        <f>SUM(G393)</f>
        <v>501.11700000000002</v>
      </c>
    </row>
    <row r="393" spans="1:7" s="17" customFormat="1" ht="25.5" x14ac:dyDescent="0.2">
      <c r="A393" s="34" t="s">
        <v>49</v>
      </c>
      <c r="B393" s="73"/>
      <c r="C393" s="16" t="s">
        <v>39</v>
      </c>
      <c r="D393" s="39" t="s">
        <v>40</v>
      </c>
      <c r="E393" s="16" t="s">
        <v>50</v>
      </c>
      <c r="F393" s="16"/>
      <c r="G393" s="35">
        <f>G395</f>
        <v>501.11700000000002</v>
      </c>
    </row>
    <row r="394" spans="1:7" s="17" customFormat="1" ht="25.5" x14ac:dyDescent="0.2">
      <c r="A394" s="36" t="s">
        <v>41</v>
      </c>
      <c r="B394" s="73"/>
      <c r="C394" s="16" t="s">
        <v>39</v>
      </c>
      <c r="D394" s="39" t="s">
        <v>40</v>
      </c>
      <c r="E394" s="16" t="s">
        <v>50</v>
      </c>
      <c r="F394" s="16" t="s">
        <v>174</v>
      </c>
      <c r="G394" s="35">
        <f>G395</f>
        <v>501.11700000000002</v>
      </c>
    </row>
    <row r="395" spans="1:7" s="17" customFormat="1" ht="24.75" customHeight="1" x14ac:dyDescent="0.2">
      <c r="A395" s="36" t="s">
        <v>175</v>
      </c>
      <c r="B395" s="73"/>
      <c r="C395" s="16" t="s">
        <v>39</v>
      </c>
      <c r="D395" s="39" t="s">
        <v>40</v>
      </c>
      <c r="E395" s="16" t="s">
        <v>50</v>
      </c>
      <c r="F395" s="16" t="s">
        <v>176</v>
      </c>
      <c r="G395" s="35">
        <f>650-86.4-62.483</f>
        <v>501.11700000000002</v>
      </c>
    </row>
    <row r="396" spans="1:7" s="17" customFormat="1" ht="18" hidden="1" customHeight="1" x14ac:dyDescent="0.2">
      <c r="A396" s="81" t="s">
        <v>279</v>
      </c>
      <c r="B396" s="82"/>
      <c r="C396" s="83" t="s">
        <v>53</v>
      </c>
      <c r="D396" s="83"/>
      <c r="E396" s="84"/>
      <c r="F396" s="83"/>
      <c r="G396" s="85">
        <f>G398</f>
        <v>0</v>
      </c>
    </row>
    <row r="397" spans="1:7" s="17" customFormat="1" ht="12.75" hidden="1" x14ac:dyDescent="0.2">
      <c r="A397" s="86" t="s">
        <v>239</v>
      </c>
      <c r="B397" s="76"/>
      <c r="C397" s="87" t="s">
        <v>53</v>
      </c>
      <c r="D397" s="87" t="s">
        <v>143</v>
      </c>
      <c r="E397" s="88"/>
      <c r="F397" s="89"/>
      <c r="G397" s="174">
        <f>SUM(G398)</f>
        <v>0</v>
      </c>
    </row>
    <row r="398" spans="1:7" s="17" customFormat="1" ht="40.5" hidden="1" x14ac:dyDescent="0.2">
      <c r="A398" s="90" t="s">
        <v>250</v>
      </c>
      <c r="B398" s="74"/>
      <c r="C398" s="91" t="s">
        <v>53</v>
      </c>
      <c r="D398" s="91" t="s">
        <v>143</v>
      </c>
      <c r="E398" s="92" t="s">
        <v>207</v>
      </c>
      <c r="F398" s="91"/>
      <c r="G398" s="175">
        <f>G399</f>
        <v>0</v>
      </c>
    </row>
    <row r="399" spans="1:7" s="17" customFormat="1" ht="12.75" hidden="1" x14ac:dyDescent="0.2">
      <c r="A399" s="65" t="s">
        <v>16</v>
      </c>
      <c r="B399" s="74"/>
      <c r="C399" s="93" t="s">
        <v>53</v>
      </c>
      <c r="D399" s="93" t="s">
        <v>143</v>
      </c>
      <c r="E399" s="94" t="s">
        <v>208</v>
      </c>
      <c r="F399" s="93"/>
      <c r="G399" s="176">
        <f>SUM(G400)</f>
        <v>0</v>
      </c>
    </row>
    <row r="400" spans="1:7" s="17" customFormat="1" ht="12.75" hidden="1" x14ac:dyDescent="0.2">
      <c r="A400" s="68" t="s">
        <v>16</v>
      </c>
      <c r="B400" s="73"/>
      <c r="C400" s="95" t="s">
        <v>53</v>
      </c>
      <c r="D400" s="95" t="s">
        <v>143</v>
      </c>
      <c r="E400" s="96" t="s">
        <v>209</v>
      </c>
      <c r="F400" s="87"/>
      <c r="G400" s="177">
        <f>G401</f>
        <v>0</v>
      </c>
    </row>
    <row r="401" spans="1:7" s="17" customFormat="1" ht="38.25" hidden="1" x14ac:dyDescent="0.2">
      <c r="A401" s="97" t="s">
        <v>280</v>
      </c>
      <c r="B401" s="73"/>
      <c r="C401" s="95" t="s">
        <v>53</v>
      </c>
      <c r="D401" s="95" t="s">
        <v>143</v>
      </c>
      <c r="E401" s="96" t="s">
        <v>238</v>
      </c>
      <c r="F401" s="95"/>
      <c r="G401" s="177">
        <f>G403</f>
        <v>0</v>
      </c>
    </row>
    <row r="402" spans="1:7" s="17" customFormat="1" ht="25.5" hidden="1" x14ac:dyDescent="0.2">
      <c r="A402" s="36" t="s">
        <v>41</v>
      </c>
      <c r="B402" s="73"/>
      <c r="C402" s="95" t="s">
        <v>53</v>
      </c>
      <c r="D402" s="95" t="s">
        <v>143</v>
      </c>
      <c r="E402" s="96" t="s">
        <v>238</v>
      </c>
      <c r="F402" s="95" t="s">
        <v>174</v>
      </c>
      <c r="G402" s="177">
        <f>G403</f>
        <v>0</v>
      </c>
    </row>
    <row r="403" spans="1:7" s="17" customFormat="1" ht="24.75" hidden="1" customHeight="1" x14ac:dyDescent="0.2">
      <c r="A403" s="36" t="s">
        <v>175</v>
      </c>
      <c r="B403" s="73"/>
      <c r="C403" s="95" t="s">
        <v>53</v>
      </c>
      <c r="D403" s="95" t="s">
        <v>143</v>
      </c>
      <c r="E403" s="96" t="s">
        <v>238</v>
      </c>
      <c r="F403" s="95" t="s">
        <v>176</v>
      </c>
      <c r="G403" s="177">
        <v>0</v>
      </c>
    </row>
    <row r="404" spans="1:7" s="17" customFormat="1" ht="38.25" hidden="1" x14ac:dyDescent="0.2">
      <c r="A404" s="199" t="s">
        <v>323</v>
      </c>
      <c r="B404" s="19" t="s">
        <v>317</v>
      </c>
      <c r="C404" s="16"/>
      <c r="D404" s="16"/>
      <c r="E404" s="16"/>
      <c r="F404" s="16"/>
      <c r="G404" s="30">
        <f>G405</f>
        <v>0</v>
      </c>
    </row>
    <row r="405" spans="1:7" s="17" customFormat="1" ht="13.5" hidden="1" x14ac:dyDescent="0.2">
      <c r="A405" s="196" t="s">
        <v>300</v>
      </c>
      <c r="B405" s="197"/>
      <c r="C405" s="197" t="s">
        <v>40</v>
      </c>
      <c r="D405" s="197"/>
      <c r="E405" s="197"/>
      <c r="F405" s="197"/>
      <c r="G405" s="198">
        <f>G406</f>
        <v>0</v>
      </c>
    </row>
    <row r="406" spans="1:7" s="17" customFormat="1" ht="38.25" hidden="1" x14ac:dyDescent="0.2">
      <c r="A406" s="169" t="s">
        <v>321</v>
      </c>
      <c r="B406" s="19"/>
      <c r="C406" s="19" t="s">
        <v>40</v>
      </c>
      <c r="D406" s="19" t="s">
        <v>80</v>
      </c>
      <c r="E406" s="19" t="s">
        <v>207</v>
      </c>
      <c r="F406" s="19"/>
      <c r="G406" s="30">
        <f>G407</f>
        <v>0</v>
      </c>
    </row>
    <row r="407" spans="1:7" s="17" customFormat="1" ht="13.5" hidden="1" x14ac:dyDescent="0.2">
      <c r="A407" s="31" t="s">
        <v>16</v>
      </c>
      <c r="B407" s="27"/>
      <c r="C407" s="32" t="s">
        <v>40</v>
      </c>
      <c r="D407" s="32" t="s">
        <v>80</v>
      </c>
      <c r="E407" s="32" t="s">
        <v>208</v>
      </c>
      <c r="F407" s="27"/>
      <c r="G407" s="33">
        <f>SUM(G408)</f>
        <v>0</v>
      </c>
    </row>
    <row r="408" spans="1:7" s="17" customFormat="1" ht="12.75" hidden="1" x14ac:dyDescent="0.2">
      <c r="A408" s="34" t="s">
        <v>16</v>
      </c>
      <c r="B408" s="19"/>
      <c r="C408" s="16" t="s">
        <v>40</v>
      </c>
      <c r="D408" s="16" t="s">
        <v>80</v>
      </c>
      <c r="E408" s="16" t="s">
        <v>209</v>
      </c>
      <c r="F408" s="19"/>
      <c r="G408" s="35">
        <f>SUM(G409)</f>
        <v>0</v>
      </c>
    </row>
    <row r="409" spans="1:7" s="17" customFormat="1" ht="25.5" hidden="1" x14ac:dyDescent="0.2">
      <c r="A409" s="34" t="s">
        <v>320</v>
      </c>
      <c r="B409" s="16"/>
      <c r="C409" s="16" t="s">
        <v>40</v>
      </c>
      <c r="D409" s="16" t="s">
        <v>80</v>
      </c>
      <c r="E409" s="16" t="s">
        <v>299</v>
      </c>
      <c r="F409" s="19"/>
      <c r="G409" s="35">
        <f>G411</f>
        <v>0</v>
      </c>
    </row>
    <row r="410" spans="1:7" s="17" customFormat="1" ht="12.75" hidden="1" x14ac:dyDescent="0.2">
      <c r="A410" s="36" t="s">
        <v>2</v>
      </c>
      <c r="B410" s="16"/>
      <c r="C410" s="16" t="s">
        <v>40</v>
      </c>
      <c r="D410" s="16" t="s">
        <v>80</v>
      </c>
      <c r="E410" s="16" t="s">
        <v>299</v>
      </c>
      <c r="F410" s="16" t="s">
        <v>185</v>
      </c>
      <c r="G410" s="35">
        <f>G411</f>
        <v>0</v>
      </c>
    </row>
    <row r="411" spans="1:7" s="17" customFormat="1" ht="12.75" hidden="1" x14ac:dyDescent="0.2">
      <c r="A411" s="36" t="s">
        <v>319</v>
      </c>
      <c r="B411" s="16"/>
      <c r="C411" s="16" t="s">
        <v>40</v>
      </c>
      <c r="D411" s="16" t="s">
        <v>80</v>
      </c>
      <c r="E411" s="16" t="s">
        <v>299</v>
      </c>
      <c r="F411" s="16" t="s">
        <v>318</v>
      </c>
      <c r="G411" s="35">
        <v>0</v>
      </c>
    </row>
    <row r="412" spans="1:7" s="21" customFormat="1" ht="0.75" hidden="1" customHeight="1" x14ac:dyDescent="0.2">
      <c r="A412" s="18" t="s">
        <v>297</v>
      </c>
      <c r="B412" s="19" t="s">
        <v>296</v>
      </c>
      <c r="C412" s="16"/>
      <c r="D412" s="16"/>
      <c r="E412" s="16"/>
      <c r="F412" s="16"/>
      <c r="G412" s="20">
        <f>G413</f>
        <v>0</v>
      </c>
    </row>
    <row r="413" spans="1:7" s="21" customFormat="1" ht="18.75" hidden="1" customHeight="1" x14ac:dyDescent="0.2">
      <c r="A413" s="22" t="s">
        <v>243</v>
      </c>
      <c r="B413" s="23"/>
      <c r="C413" s="23" t="s">
        <v>40</v>
      </c>
      <c r="D413" s="24"/>
      <c r="E413" s="24"/>
      <c r="F413" s="24"/>
      <c r="G413" s="25">
        <f>G414</f>
        <v>0</v>
      </c>
    </row>
    <row r="414" spans="1:7" s="29" customFormat="1" ht="27" hidden="1" x14ac:dyDescent="0.25">
      <c r="A414" s="26" t="s">
        <v>310</v>
      </c>
      <c r="B414" s="27"/>
      <c r="C414" s="27" t="s">
        <v>40</v>
      </c>
      <c r="D414" s="27" t="s">
        <v>143</v>
      </c>
      <c r="E414" s="27"/>
      <c r="F414" s="27"/>
      <c r="G414" s="28">
        <f>G415+G421+G423</f>
        <v>0</v>
      </c>
    </row>
    <row r="415" spans="1:7" s="29" customFormat="1" ht="57" hidden="1" customHeight="1" x14ac:dyDescent="0.25">
      <c r="A415" s="18" t="s">
        <v>12</v>
      </c>
      <c r="B415" s="19"/>
      <c r="C415" s="19" t="s">
        <v>40</v>
      </c>
      <c r="D415" s="19" t="s">
        <v>143</v>
      </c>
      <c r="E415" s="19" t="s">
        <v>13</v>
      </c>
      <c r="F415" s="19"/>
      <c r="G415" s="30">
        <f>G416</f>
        <v>0</v>
      </c>
    </row>
    <row r="416" spans="1:7" s="29" customFormat="1" ht="32.25" hidden="1" customHeight="1" x14ac:dyDescent="0.25">
      <c r="A416" s="31" t="s">
        <v>311</v>
      </c>
      <c r="B416" s="32"/>
      <c r="C416" s="32" t="s">
        <v>40</v>
      </c>
      <c r="D416" s="32" t="s">
        <v>143</v>
      </c>
      <c r="E416" s="32" t="s">
        <v>291</v>
      </c>
      <c r="F416" s="32"/>
      <c r="G416" s="33">
        <f>SUM(G417)</f>
        <v>0</v>
      </c>
    </row>
    <row r="417" spans="1:7" s="29" customFormat="1" ht="19.5" hidden="1" customHeight="1" x14ac:dyDescent="0.25">
      <c r="A417" s="34" t="s">
        <v>16</v>
      </c>
      <c r="B417" s="19"/>
      <c r="C417" s="16" t="s">
        <v>40</v>
      </c>
      <c r="D417" s="16" t="s">
        <v>143</v>
      </c>
      <c r="E417" s="16" t="s">
        <v>292</v>
      </c>
      <c r="F417" s="19"/>
      <c r="G417" s="35">
        <f>G418</f>
        <v>0</v>
      </c>
    </row>
    <row r="418" spans="1:7" s="21" customFormat="1" ht="19.5" hidden="1" customHeight="1" x14ac:dyDescent="0.2">
      <c r="A418" s="34" t="s">
        <v>311</v>
      </c>
      <c r="B418" s="16"/>
      <c r="C418" s="16" t="s">
        <v>40</v>
      </c>
      <c r="D418" s="16" t="s">
        <v>143</v>
      </c>
      <c r="E418" s="16" t="s">
        <v>293</v>
      </c>
      <c r="F418" s="19"/>
      <c r="G418" s="35">
        <f>G419</f>
        <v>0</v>
      </c>
    </row>
    <row r="419" spans="1:7" s="21" customFormat="1" ht="63.75" hidden="1" x14ac:dyDescent="0.2">
      <c r="A419" s="36" t="s">
        <v>245</v>
      </c>
      <c r="B419" s="16"/>
      <c r="C419" s="16" t="s">
        <v>40</v>
      </c>
      <c r="D419" s="16" t="s">
        <v>143</v>
      </c>
      <c r="E419" s="16" t="s">
        <v>293</v>
      </c>
      <c r="F419" s="16" t="s">
        <v>181</v>
      </c>
      <c r="G419" s="35">
        <f>G420</f>
        <v>0</v>
      </c>
    </row>
    <row r="420" spans="1:7" s="21" customFormat="1" ht="25.5" hidden="1" x14ac:dyDescent="0.2">
      <c r="A420" s="36" t="s">
        <v>182</v>
      </c>
      <c r="B420" s="16"/>
      <c r="C420" s="16" t="s">
        <v>40</v>
      </c>
      <c r="D420" s="16" t="s">
        <v>143</v>
      </c>
      <c r="E420" s="16" t="s">
        <v>293</v>
      </c>
      <c r="F420" s="16" t="s">
        <v>183</v>
      </c>
      <c r="G420" s="35">
        <v>0</v>
      </c>
    </row>
    <row r="421" spans="1:7" s="21" customFormat="1" ht="28.5" hidden="1" customHeight="1" x14ac:dyDescent="0.2">
      <c r="A421" s="36" t="s">
        <v>41</v>
      </c>
      <c r="B421" s="16"/>
      <c r="C421" s="16" t="s">
        <v>40</v>
      </c>
      <c r="D421" s="16" t="s">
        <v>143</v>
      </c>
      <c r="E421" s="16" t="s">
        <v>293</v>
      </c>
      <c r="F421" s="16" t="s">
        <v>174</v>
      </c>
      <c r="G421" s="35">
        <f>G422</f>
        <v>0</v>
      </c>
    </row>
    <row r="422" spans="1:7" s="17" customFormat="1" ht="33.75" hidden="1" customHeight="1" x14ac:dyDescent="0.2">
      <c r="A422" s="36" t="s">
        <v>175</v>
      </c>
      <c r="B422" s="16"/>
      <c r="C422" s="16" t="s">
        <v>40</v>
      </c>
      <c r="D422" s="16" t="s">
        <v>143</v>
      </c>
      <c r="E422" s="16" t="s">
        <v>293</v>
      </c>
      <c r="F422" s="16" t="s">
        <v>176</v>
      </c>
      <c r="G422" s="35">
        <v>0</v>
      </c>
    </row>
    <row r="423" spans="1:7" ht="21.75" hidden="1" customHeight="1" x14ac:dyDescent="0.25">
      <c r="A423" s="36" t="s">
        <v>43</v>
      </c>
      <c r="B423" s="16"/>
      <c r="C423" s="16" t="s">
        <v>40</v>
      </c>
      <c r="D423" s="16" t="s">
        <v>143</v>
      </c>
      <c r="E423" s="16" t="s">
        <v>293</v>
      </c>
      <c r="F423" s="16" t="s">
        <v>185</v>
      </c>
      <c r="G423" s="35">
        <f>G424+G425</f>
        <v>0</v>
      </c>
    </row>
    <row r="424" spans="1:7" ht="22.5" hidden="1" customHeight="1" x14ac:dyDescent="0.25">
      <c r="A424" s="36" t="s">
        <v>334</v>
      </c>
      <c r="B424" s="16"/>
      <c r="C424" s="16" t="s">
        <v>40</v>
      </c>
      <c r="D424" s="16" t="s">
        <v>52</v>
      </c>
      <c r="E424" s="16" t="s">
        <v>293</v>
      </c>
      <c r="F424" s="16" t="s">
        <v>333</v>
      </c>
      <c r="G424" s="35">
        <v>0</v>
      </c>
    </row>
    <row r="425" spans="1:7" ht="21" hidden="1" customHeight="1" x14ac:dyDescent="0.25">
      <c r="A425" s="36" t="s">
        <v>186</v>
      </c>
      <c r="B425" s="16"/>
      <c r="C425" s="16" t="s">
        <v>40</v>
      </c>
      <c r="D425" s="16" t="s">
        <v>143</v>
      </c>
      <c r="E425" s="16" t="s">
        <v>293</v>
      </c>
      <c r="F425" s="16" t="s">
        <v>187</v>
      </c>
      <c r="G425" s="35">
        <v>0</v>
      </c>
    </row>
    <row r="426" spans="1:7" x14ac:dyDescent="0.25">
      <c r="B426" s="9"/>
      <c r="C426" s="9"/>
      <c r="D426" s="9"/>
      <c r="E426" s="9"/>
      <c r="F426" s="9"/>
      <c r="G426" s="9"/>
    </row>
    <row r="427" spans="1:7" x14ac:dyDescent="0.25">
      <c r="B427" s="9"/>
      <c r="C427" s="9"/>
      <c r="D427" s="9"/>
      <c r="E427" s="9"/>
      <c r="F427" s="9"/>
      <c r="G427" s="9"/>
    </row>
    <row r="428" spans="1:7" x14ac:dyDescent="0.25">
      <c r="B428" s="9"/>
      <c r="C428" s="9"/>
      <c r="D428" s="9"/>
      <c r="E428" s="9"/>
      <c r="F428" s="9"/>
      <c r="G428" s="9"/>
    </row>
  </sheetData>
  <autoFilter ref="A20:I420" xr:uid="{00000000-0009-0000-0000-000003000000}"/>
  <mergeCells count="7">
    <mergeCell ref="A16:G16"/>
    <mergeCell ref="A18:A19"/>
    <mergeCell ref="B18:B19"/>
    <mergeCell ref="C18:C19"/>
    <mergeCell ref="D18:D19"/>
    <mergeCell ref="E18:E19"/>
    <mergeCell ref="F18:F19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81" fitToHeight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55633-AFD2-4F70-9F22-28310B547A99}">
  <dimension ref="A1:C27"/>
  <sheetViews>
    <sheetView topLeftCell="A15" workbookViewId="0">
      <selection sqref="A1:C27"/>
    </sheetView>
  </sheetViews>
  <sheetFormatPr defaultRowHeight="12.75" x14ac:dyDescent="0.2"/>
  <cols>
    <col min="1" max="1" width="44.5703125" style="256" customWidth="1"/>
    <col min="2" max="2" width="29.140625" style="256" customWidth="1"/>
    <col min="3" max="3" width="31.42578125" style="256" customWidth="1"/>
    <col min="4" max="256" width="9.140625" style="256"/>
    <col min="257" max="257" width="44.5703125" style="256" customWidth="1"/>
    <col min="258" max="258" width="29.140625" style="256" customWidth="1"/>
    <col min="259" max="259" width="31.42578125" style="256" customWidth="1"/>
    <col min="260" max="512" width="9.140625" style="256"/>
    <col min="513" max="513" width="44.5703125" style="256" customWidth="1"/>
    <col min="514" max="514" width="29.140625" style="256" customWidth="1"/>
    <col min="515" max="515" width="31.42578125" style="256" customWidth="1"/>
    <col min="516" max="768" width="9.140625" style="256"/>
    <col min="769" max="769" width="44.5703125" style="256" customWidth="1"/>
    <col min="770" max="770" width="29.140625" style="256" customWidth="1"/>
    <col min="771" max="771" width="31.42578125" style="256" customWidth="1"/>
    <col min="772" max="1024" width="9.140625" style="256"/>
    <col min="1025" max="1025" width="44.5703125" style="256" customWidth="1"/>
    <col min="1026" max="1026" width="29.140625" style="256" customWidth="1"/>
    <col min="1027" max="1027" width="31.42578125" style="256" customWidth="1"/>
    <col min="1028" max="1280" width="9.140625" style="256"/>
    <col min="1281" max="1281" width="44.5703125" style="256" customWidth="1"/>
    <col min="1282" max="1282" width="29.140625" style="256" customWidth="1"/>
    <col min="1283" max="1283" width="31.42578125" style="256" customWidth="1"/>
    <col min="1284" max="1536" width="9.140625" style="256"/>
    <col min="1537" max="1537" width="44.5703125" style="256" customWidth="1"/>
    <col min="1538" max="1538" width="29.140625" style="256" customWidth="1"/>
    <col min="1539" max="1539" width="31.42578125" style="256" customWidth="1"/>
    <col min="1540" max="1792" width="9.140625" style="256"/>
    <col min="1793" max="1793" width="44.5703125" style="256" customWidth="1"/>
    <col min="1794" max="1794" width="29.140625" style="256" customWidth="1"/>
    <col min="1795" max="1795" width="31.42578125" style="256" customWidth="1"/>
    <col min="1796" max="2048" width="9.140625" style="256"/>
    <col min="2049" max="2049" width="44.5703125" style="256" customWidth="1"/>
    <col min="2050" max="2050" width="29.140625" style="256" customWidth="1"/>
    <col min="2051" max="2051" width="31.42578125" style="256" customWidth="1"/>
    <col min="2052" max="2304" width="9.140625" style="256"/>
    <col min="2305" max="2305" width="44.5703125" style="256" customWidth="1"/>
    <col min="2306" max="2306" width="29.140625" style="256" customWidth="1"/>
    <col min="2307" max="2307" width="31.42578125" style="256" customWidth="1"/>
    <col min="2308" max="2560" width="9.140625" style="256"/>
    <col min="2561" max="2561" width="44.5703125" style="256" customWidth="1"/>
    <col min="2562" max="2562" width="29.140625" style="256" customWidth="1"/>
    <col min="2563" max="2563" width="31.42578125" style="256" customWidth="1"/>
    <col min="2564" max="2816" width="9.140625" style="256"/>
    <col min="2817" max="2817" width="44.5703125" style="256" customWidth="1"/>
    <col min="2818" max="2818" width="29.140625" style="256" customWidth="1"/>
    <col min="2819" max="2819" width="31.42578125" style="256" customWidth="1"/>
    <col min="2820" max="3072" width="9.140625" style="256"/>
    <col min="3073" max="3073" width="44.5703125" style="256" customWidth="1"/>
    <col min="3074" max="3074" width="29.140625" style="256" customWidth="1"/>
    <col min="3075" max="3075" width="31.42578125" style="256" customWidth="1"/>
    <col min="3076" max="3328" width="9.140625" style="256"/>
    <col min="3329" max="3329" width="44.5703125" style="256" customWidth="1"/>
    <col min="3330" max="3330" width="29.140625" style="256" customWidth="1"/>
    <col min="3331" max="3331" width="31.42578125" style="256" customWidth="1"/>
    <col min="3332" max="3584" width="9.140625" style="256"/>
    <col min="3585" max="3585" width="44.5703125" style="256" customWidth="1"/>
    <col min="3586" max="3586" width="29.140625" style="256" customWidth="1"/>
    <col min="3587" max="3587" width="31.42578125" style="256" customWidth="1"/>
    <col min="3588" max="3840" width="9.140625" style="256"/>
    <col min="3841" max="3841" width="44.5703125" style="256" customWidth="1"/>
    <col min="3842" max="3842" width="29.140625" style="256" customWidth="1"/>
    <col min="3843" max="3843" width="31.42578125" style="256" customWidth="1"/>
    <col min="3844" max="4096" width="9.140625" style="256"/>
    <col min="4097" max="4097" width="44.5703125" style="256" customWidth="1"/>
    <col min="4098" max="4098" width="29.140625" style="256" customWidth="1"/>
    <col min="4099" max="4099" width="31.42578125" style="256" customWidth="1"/>
    <col min="4100" max="4352" width="9.140625" style="256"/>
    <col min="4353" max="4353" width="44.5703125" style="256" customWidth="1"/>
    <col min="4354" max="4354" width="29.140625" style="256" customWidth="1"/>
    <col min="4355" max="4355" width="31.42578125" style="256" customWidth="1"/>
    <col min="4356" max="4608" width="9.140625" style="256"/>
    <col min="4609" max="4609" width="44.5703125" style="256" customWidth="1"/>
    <col min="4610" max="4610" width="29.140625" style="256" customWidth="1"/>
    <col min="4611" max="4611" width="31.42578125" style="256" customWidth="1"/>
    <col min="4612" max="4864" width="9.140625" style="256"/>
    <col min="4865" max="4865" width="44.5703125" style="256" customWidth="1"/>
    <col min="4866" max="4866" width="29.140625" style="256" customWidth="1"/>
    <col min="4867" max="4867" width="31.42578125" style="256" customWidth="1"/>
    <col min="4868" max="5120" width="9.140625" style="256"/>
    <col min="5121" max="5121" width="44.5703125" style="256" customWidth="1"/>
    <col min="5122" max="5122" width="29.140625" style="256" customWidth="1"/>
    <col min="5123" max="5123" width="31.42578125" style="256" customWidth="1"/>
    <col min="5124" max="5376" width="9.140625" style="256"/>
    <col min="5377" max="5377" width="44.5703125" style="256" customWidth="1"/>
    <col min="5378" max="5378" width="29.140625" style="256" customWidth="1"/>
    <col min="5379" max="5379" width="31.42578125" style="256" customWidth="1"/>
    <col min="5380" max="5632" width="9.140625" style="256"/>
    <col min="5633" max="5633" width="44.5703125" style="256" customWidth="1"/>
    <col min="5634" max="5634" width="29.140625" style="256" customWidth="1"/>
    <col min="5635" max="5635" width="31.42578125" style="256" customWidth="1"/>
    <col min="5636" max="5888" width="9.140625" style="256"/>
    <col min="5889" max="5889" width="44.5703125" style="256" customWidth="1"/>
    <col min="5890" max="5890" width="29.140625" style="256" customWidth="1"/>
    <col min="5891" max="5891" width="31.42578125" style="256" customWidth="1"/>
    <col min="5892" max="6144" width="9.140625" style="256"/>
    <col min="6145" max="6145" width="44.5703125" style="256" customWidth="1"/>
    <col min="6146" max="6146" width="29.140625" style="256" customWidth="1"/>
    <col min="6147" max="6147" width="31.42578125" style="256" customWidth="1"/>
    <col min="6148" max="6400" width="9.140625" style="256"/>
    <col min="6401" max="6401" width="44.5703125" style="256" customWidth="1"/>
    <col min="6402" max="6402" width="29.140625" style="256" customWidth="1"/>
    <col min="6403" max="6403" width="31.42578125" style="256" customWidth="1"/>
    <col min="6404" max="6656" width="9.140625" style="256"/>
    <col min="6657" max="6657" width="44.5703125" style="256" customWidth="1"/>
    <col min="6658" max="6658" width="29.140625" style="256" customWidth="1"/>
    <col min="6659" max="6659" width="31.42578125" style="256" customWidth="1"/>
    <col min="6660" max="6912" width="9.140625" style="256"/>
    <col min="6913" max="6913" width="44.5703125" style="256" customWidth="1"/>
    <col min="6914" max="6914" width="29.140625" style="256" customWidth="1"/>
    <col min="6915" max="6915" width="31.42578125" style="256" customWidth="1"/>
    <col min="6916" max="7168" width="9.140625" style="256"/>
    <col min="7169" max="7169" width="44.5703125" style="256" customWidth="1"/>
    <col min="7170" max="7170" width="29.140625" style="256" customWidth="1"/>
    <col min="7171" max="7171" width="31.42578125" style="256" customWidth="1"/>
    <col min="7172" max="7424" width="9.140625" style="256"/>
    <col min="7425" max="7425" width="44.5703125" style="256" customWidth="1"/>
    <col min="7426" max="7426" width="29.140625" style="256" customWidth="1"/>
    <col min="7427" max="7427" width="31.42578125" style="256" customWidth="1"/>
    <col min="7428" max="7680" width="9.140625" style="256"/>
    <col min="7681" max="7681" width="44.5703125" style="256" customWidth="1"/>
    <col min="7682" max="7682" width="29.140625" style="256" customWidth="1"/>
    <col min="7683" max="7683" width="31.42578125" style="256" customWidth="1"/>
    <col min="7684" max="7936" width="9.140625" style="256"/>
    <col min="7937" max="7937" width="44.5703125" style="256" customWidth="1"/>
    <col min="7938" max="7938" width="29.140625" style="256" customWidth="1"/>
    <col min="7939" max="7939" width="31.42578125" style="256" customWidth="1"/>
    <col min="7940" max="8192" width="9.140625" style="256"/>
    <col min="8193" max="8193" width="44.5703125" style="256" customWidth="1"/>
    <col min="8194" max="8194" width="29.140625" style="256" customWidth="1"/>
    <col min="8195" max="8195" width="31.42578125" style="256" customWidth="1"/>
    <col min="8196" max="8448" width="9.140625" style="256"/>
    <col min="8449" max="8449" width="44.5703125" style="256" customWidth="1"/>
    <col min="8450" max="8450" width="29.140625" style="256" customWidth="1"/>
    <col min="8451" max="8451" width="31.42578125" style="256" customWidth="1"/>
    <col min="8452" max="8704" width="9.140625" style="256"/>
    <col min="8705" max="8705" width="44.5703125" style="256" customWidth="1"/>
    <col min="8706" max="8706" width="29.140625" style="256" customWidth="1"/>
    <col min="8707" max="8707" width="31.42578125" style="256" customWidth="1"/>
    <col min="8708" max="8960" width="9.140625" style="256"/>
    <col min="8961" max="8961" width="44.5703125" style="256" customWidth="1"/>
    <col min="8962" max="8962" width="29.140625" style="256" customWidth="1"/>
    <col min="8963" max="8963" width="31.42578125" style="256" customWidth="1"/>
    <col min="8964" max="9216" width="9.140625" style="256"/>
    <col min="9217" max="9217" width="44.5703125" style="256" customWidth="1"/>
    <col min="9218" max="9218" width="29.140625" style="256" customWidth="1"/>
    <col min="9219" max="9219" width="31.42578125" style="256" customWidth="1"/>
    <col min="9220" max="9472" width="9.140625" style="256"/>
    <col min="9473" max="9473" width="44.5703125" style="256" customWidth="1"/>
    <col min="9474" max="9474" width="29.140625" style="256" customWidth="1"/>
    <col min="9475" max="9475" width="31.42578125" style="256" customWidth="1"/>
    <col min="9476" max="9728" width="9.140625" style="256"/>
    <col min="9729" max="9729" width="44.5703125" style="256" customWidth="1"/>
    <col min="9730" max="9730" width="29.140625" style="256" customWidth="1"/>
    <col min="9731" max="9731" width="31.42578125" style="256" customWidth="1"/>
    <col min="9732" max="9984" width="9.140625" style="256"/>
    <col min="9985" max="9985" width="44.5703125" style="256" customWidth="1"/>
    <col min="9986" max="9986" width="29.140625" style="256" customWidth="1"/>
    <col min="9987" max="9987" width="31.42578125" style="256" customWidth="1"/>
    <col min="9988" max="10240" width="9.140625" style="256"/>
    <col min="10241" max="10241" width="44.5703125" style="256" customWidth="1"/>
    <col min="10242" max="10242" width="29.140625" style="256" customWidth="1"/>
    <col min="10243" max="10243" width="31.42578125" style="256" customWidth="1"/>
    <col min="10244" max="10496" width="9.140625" style="256"/>
    <col min="10497" max="10497" width="44.5703125" style="256" customWidth="1"/>
    <col min="10498" max="10498" width="29.140625" style="256" customWidth="1"/>
    <col min="10499" max="10499" width="31.42578125" style="256" customWidth="1"/>
    <col min="10500" max="10752" width="9.140625" style="256"/>
    <col min="10753" max="10753" width="44.5703125" style="256" customWidth="1"/>
    <col min="10754" max="10754" width="29.140625" style="256" customWidth="1"/>
    <col min="10755" max="10755" width="31.42578125" style="256" customWidth="1"/>
    <col min="10756" max="11008" width="9.140625" style="256"/>
    <col min="11009" max="11009" width="44.5703125" style="256" customWidth="1"/>
    <col min="11010" max="11010" width="29.140625" style="256" customWidth="1"/>
    <col min="11011" max="11011" width="31.42578125" style="256" customWidth="1"/>
    <col min="11012" max="11264" width="9.140625" style="256"/>
    <col min="11265" max="11265" width="44.5703125" style="256" customWidth="1"/>
    <col min="11266" max="11266" width="29.140625" style="256" customWidth="1"/>
    <col min="11267" max="11267" width="31.42578125" style="256" customWidth="1"/>
    <col min="11268" max="11520" width="9.140625" style="256"/>
    <col min="11521" max="11521" width="44.5703125" style="256" customWidth="1"/>
    <col min="11522" max="11522" width="29.140625" style="256" customWidth="1"/>
    <col min="11523" max="11523" width="31.42578125" style="256" customWidth="1"/>
    <col min="11524" max="11776" width="9.140625" style="256"/>
    <col min="11777" max="11777" width="44.5703125" style="256" customWidth="1"/>
    <col min="11778" max="11778" width="29.140625" style="256" customWidth="1"/>
    <col min="11779" max="11779" width="31.42578125" style="256" customWidth="1"/>
    <col min="11780" max="12032" width="9.140625" style="256"/>
    <col min="12033" max="12033" width="44.5703125" style="256" customWidth="1"/>
    <col min="12034" max="12034" width="29.140625" style="256" customWidth="1"/>
    <col min="12035" max="12035" width="31.42578125" style="256" customWidth="1"/>
    <col min="12036" max="12288" width="9.140625" style="256"/>
    <col min="12289" max="12289" width="44.5703125" style="256" customWidth="1"/>
    <col min="12290" max="12290" width="29.140625" style="256" customWidth="1"/>
    <col min="12291" max="12291" width="31.42578125" style="256" customWidth="1"/>
    <col min="12292" max="12544" width="9.140625" style="256"/>
    <col min="12545" max="12545" width="44.5703125" style="256" customWidth="1"/>
    <col min="12546" max="12546" width="29.140625" style="256" customWidth="1"/>
    <col min="12547" max="12547" width="31.42578125" style="256" customWidth="1"/>
    <col min="12548" max="12800" width="9.140625" style="256"/>
    <col min="12801" max="12801" width="44.5703125" style="256" customWidth="1"/>
    <col min="12802" max="12802" width="29.140625" style="256" customWidth="1"/>
    <col min="12803" max="12803" width="31.42578125" style="256" customWidth="1"/>
    <col min="12804" max="13056" width="9.140625" style="256"/>
    <col min="13057" max="13057" width="44.5703125" style="256" customWidth="1"/>
    <col min="13058" max="13058" width="29.140625" style="256" customWidth="1"/>
    <col min="13059" max="13059" width="31.42578125" style="256" customWidth="1"/>
    <col min="13060" max="13312" width="9.140625" style="256"/>
    <col min="13313" max="13313" width="44.5703125" style="256" customWidth="1"/>
    <col min="13314" max="13314" width="29.140625" style="256" customWidth="1"/>
    <col min="13315" max="13315" width="31.42578125" style="256" customWidth="1"/>
    <col min="13316" max="13568" width="9.140625" style="256"/>
    <col min="13569" max="13569" width="44.5703125" style="256" customWidth="1"/>
    <col min="13570" max="13570" width="29.140625" style="256" customWidth="1"/>
    <col min="13571" max="13571" width="31.42578125" style="256" customWidth="1"/>
    <col min="13572" max="13824" width="9.140625" style="256"/>
    <col min="13825" max="13825" width="44.5703125" style="256" customWidth="1"/>
    <col min="13826" max="13826" width="29.140625" style="256" customWidth="1"/>
    <col min="13827" max="13827" width="31.42578125" style="256" customWidth="1"/>
    <col min="13828" max="14080" width="9.140625" style="256"/>
    <col min="14081" max="14081" width="44.5703125" style="256" customWidth="1"/>
    <col min="14082" max="14082" width="29.140625" style="256" customWidth="1"/>
    <col min="14083" max="14083" width="31.42578125" style="256" customWidth="1"/>
    <col min="14084" max="14336" width="9.140625" style="256"/>
    <col min="14337" max="14337" width="44.5703125" style="256" customWidth="1"/>
    <col min="14338" max="14338" width="29.140625" style="256" customWidth="1"/>
    <col min="14339" max="14339" width="31.42578125" style="256" customWidth="1"/>
    <col min="14340" max="14592" width="9.140625" style="256"/>
    <col min="14593" max="14593" width="44.5703125" style="256" customWidth="1"/>
    <col min="14594" max="14594" width="29.140625" style="256" customWidth="1"/>
    <col min="14595" max="14595" width="31.42578125" style="256" customWidth="1"/>
    <col min="14596" max="14848" width="9.140625" style="256"/>
    <col min="14849" max="14849" width="44.5703125" style="256" customWidth="1"/>
    <col min="14850" max="14850" width="29.140625" style="256" customWidth="1"/>
    <col min="14851" max="14851" width="31.42578125" style="256" customWidth="1"/>
    <col min="14852" max="15104" width="9.140625" style="256"/>
    <col min="15105" max="15105" width="44.5703125" style="256" customWidth="1"/>
    <col min="15106" max="15106" width="29.140625" style="256" customWidth="1"/>
    <col min="15107" max="15107" width="31.42578125" style="256" customWidth="1"/>
    <col min="15108" max="15360" width="9.140625" style="256"/>
    <col min="15361" max="15361" width="44.5703125" style="256" customWidth="1"/>
    <col min="15362" max="15362" width="29.140625" style="256" customWidth="1"/>
    <col min="15363" max="15363" width="31.42578125" style="256" customWidth="1"/>
    <col min="15364" max="15616" width="9.140625" style="256"/>
    <col min="15617" max="15617" width="44.5703125" style="256" customWidth="1"/>
    <col min="15618" max="15618" width="29.140625" style="256" customWidth="1"/>
    <col min="15619" max="15619" width="31.42578125" style="256" customWidth="1"/>
    <col min="15620" max="15872" width="9.140625" style="256"/>
    <col min="15873" max="15873" width="44.5703125" style="256" customWidth="1"/>
    <col min="15874" max="15874" width="29.140625" style="256" customWidth="1"/>
    <col min="15875" max="15875" width="31.42578125" style="256" customWidth="1"/>
    <col min="15876" max="16128" width="9.140625" style="256"/>
    <col min="16129" max="16129" width="44.5703125" style="256" customWidth="1"/>
    <col min="16130" max="16130" width="29.140625" style="256" customWidth="1"/>
    <col min="16131" max="16131" width="31.42578125" style="256" customWidth="1"/>
    <col min="16132" max="16384" width="9.140625" style="256"/>
  </cols>
  <sheetData>
    <row r="1" spans="1:3" ht="15" x14ac:dyDescent="0.25">
      <c r="C1" s="105" t="s">
        <v>528</v>
      </c>
    </row>
    <row r="2" spans="1:3" ht="15" x14ac:dyDescent="0.25">
      <c r="C2" s="105" t="s">
        <v>529</v>
      </c>
    </row>
    <row r="3" spans="1:3" ht="15" x14ac:dyDescent="0.25">
      <c r="C3" s="105" t="s">
        <v>10</v>
      </c>
    </row>
    <row r="4" spans="1:3" ht="15" x14ac:dyDescent="0.25">
      <c r="C4" s="105" t="s">
        <v>3</v>
      </c>
    </row>
    <row r="5" spans="1:3" ht="15" x14ac:dyDescent="0.25">
      <c r="C5" s="105" t="s">
        <v>4</v>
      </c>
    </row>
    <row r="6" spans="1:3" ht="15" x14ac:dyDescent="0.25">
      <c r="C6" s="105" t="s">
        <v>531</v>
      </c>
    </row>
    <row r="8" spans="1:3" s="255" customFormat="1" ht="15" x14ac:dyDescent="0.25">
      <c r="B8" s="105"/>
      <c r="C8" s="105" t="s">
        <v>515</v>
      </c>
    </row>
    <row r="9" spans="1:3" s="255" customFormat="1" ht="15" x14ac:dyDescent="0.25">
      <c r="B9" s="105"/>
      <c r="C9" s="105" t="s">
        <v>486</v>
      </c>
    </row>
    <row r="10" spans="1:3" s="255" customFormat="1" ht="15" x14ac:dyDescent="0.25">
      <c r="B10" s="105"/>
      <c r="C10" s="105" t="s">
        <v>10</v>
      </c>
    </row>
    <row r="11" spans="1:3" s="255" customFormat="1" ht="15" x14ac:dyDescent="0.25">
      <c r="B11" s="105"/>
      <c r="C11" s="105" t="s">
        <v>3</v>
      </c>
    </row>
    <row r="12" spans="1:3" s="255" customFormat="1" ht="15" x14ac:dyDescent="0.25">
      <c r="B12" s="105"/>
      <c r="C12" s="105" t="s">
        <v>4</v>
      </c>
    </row>
    <row r="13" spans="1:3" s="255" customFormat="1" ht="15" x14ac:dyDescent="0.25">
      <c r="B13" s="105"/>
      <c r="C13" s="105" t="s">
        <v>488</v>
      </c>
    </row>
    <row r="14" spans="1:3" s="255" customFormat="1" ht="14.25" x14ac:dyDescent="0.2"/>
    <row r="15" spans="1:3" s="258" customFormat="1" ht="16.5" customHeight="1" x14ac:dyDescent="0.2">
      <c r="A15" s="256"/>
      <c r="B15" s="257"/>
      <c r="C15" s="257"/>
    </row>
    <row r="16" spans="1:3" s="259" customFormat="1" ht="15.75" x14ac:dyDescent="0.2">
      <c r="A16" s="333" t="s">
        <v>463</v>
      </c>
      <c r="B16" s="333"/>
      <c r="C16" s="333"/>
    </row>
    <row r="17" spans="1:3" s="259" customFormat="1" ht="15.75" x14ac:dyDescent="0.25">
      <c r="A17" s="334" t="s">
        <v>464</v>
      </c>
      <c r="B17" s="334"/>
      <c r="C17" s="334"/>
    </row>
    <row r="18" spans="1:3" s="259" customFormat="1" ht="15.75" x14ac:dyDescent="0.25">
      <c r="A18" s="334" t="s">
        <v>516</v>
      </c>
      <c r="B18" s="334"/>
      <c r="C18" s="334"/>
    </row>
    <row r="19" spans="1:3" s="239" customFormat="1" ht="15.75" x14ac:dyDescent="0.25">
      <c r="B19" s="262"/>
      <c r="C19" s="262"/>
    </row>
    <row r="20" spans="1:3" s="239" customFormat="1" ht="15.75" x14ac:dyDescent="0.25">
      <c r="A20" s="335" t="s">
        <v>0</v>
      </c>
      <c r="B20" s="336" t="s">
        <v>459</v>
      </c>
      <c r="C20" s="305" t="s">
        <v>460</v>
      </c>
    </row>
    <row r="21" spans="1:3" s="239" customFormat="1" ht="15.75" x14ac:dyDescent="0.25">
      <c r="A21" s="335"/>
      <c r="B21" s="336"/>
      <c r="C21" s="305" t="s">
        <v>298</v>
      </c>
    </row>
    <row r="22" spans="1:3" s="260" customFormat="1" ht="31.5" x14ac:dyDescent="0.2">
      <c r="A22" s="220" t="s">
        <v>517</v>
      </c>
      <c r="B22" s="225"/>
      <c r="C22" s="263">
        <v>506.12200000000001</v>
      </c>
    </row>
    <row r="23" spans="1:3" customFormat="1" ht="47.25" x14ac:dyDescent="0.2">
      <c r="A23" s="220" t="s">
        <v>375</v>
      </c>
      <c r="B23" s="225" t="s">
        <v>465</v>
      </c>
      <c r="C23" s="263">
        <v>1754.96</v>
      </c>
    </row>
    <row r="24" spans="1:3" customFormat="1" ht="126" x14ac:dyDescent="0.2">
      <c r="A24" s="220" t="s">
        <v>518</v>
      </c>
      <c r="B24" s="225" t="s">
        <v>466</v>
      </c>
      <c r="C24" s="263">
        <v>1253.5</v>
      </c>
    </row>
    <row r="25" spans="1:3" customFormat="1" ht="110.25" x14ac:dyDescent="0.2">
      <c r="A25" s="220" t="s">
        <v>496</v>
      </c>
      <c r="B25" s="225" t="s">
        <v>519</v>
      </c>
      <c r="C25" s="263">
        <f>12748.382-2718.463-42.779</f>
        <v>9987.14</v>
      </c>
    </row>
    <row r="26" spans="1:3" s="260" customFormat="1" ht="15.75" x14ac:dyDescent="0.2">
      <c r="A26" s="277" t="s">
        <v>467</v>
      </c>
      <c r="B26" s="275"/>
      <c r="C26" s="296">
        <f>SUM(C22:C25)</f>
        <v>13501.722</v>
      </c>
    </row>
    <row r="27" spans="1:3" s="239" customFormat="1" ht="15.75" x14ac:dyDescent="0.25"/>
  </sheetData>
  <mergeCells count="5">
    <mergeCell ref="A16:C16"/>
    <mergeCell ref="A17:C17"/>
    <mergeCell ref="A18:C18"/>
    <mergeCell ref="A20:A21"/>
    <mergeCell ref="B20:B2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0"/>
  <sheetViews>
    <sheetView tabSelected="1" topLeftCell="A36" workbookViewId="0">
      <selection sqref="A1:H47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8" width="12.85546875" style="1" customWidth="1"/>
    <col min="9" max="16384" width="9.140625" style="1"/>
  </cols>
  <sheetData>
    <row r="1" spans="1:8" ht="15" x14ac:dyDescent="0.25">
      <c r="F1" s="105" t="s">
        <v>471</v>
      </c>
      <c r="G1" s="104"/>
      <c r="H1" s="104"/>
    </row>
    <row r="2" spans="1:8" ht="15" x14ac:dyDescent="0.25">
      <c r="F2" s="105" t="s">
        <v>529</v>
      </c>
      <c r="G2" s="104"/>
      <c r="H2" s="104"/>
    </row>
    <row r="3" spans="1:8" ht="15" x14ac:dyDescent="0.25">
      <c r="F3" s="105" t="s">
        <v>10</v>
      </c>
      <c r="G3" s="104"/>
      <c r="H3" s="104"/>
    </row>
    <row r="4" spans="1:8" ht="15" x14ac:dyDescent="0.25">
      <c r="F4" s="105" t="s">
        <v>3</v>
      </c>
      <c r="G4" s="104"/>
      <c r="H4" s="104"/>
    </row>
    <row r="5" spans="1:8" ht="15" x14ac:dyDescent="0.25">
      <c r="F5" s="105" t="s">
        <v>4</v>
      </c>
      <c r="G5" s="104"/>
      <c r="H5" s="104"/>
    </row>
    <row r="6" spans="1:8" ht="15" x14ac:dyDescent="0.25">
      <c r="F6" s="105" t="s">
        <v>533</v>
      </c>
      <c r="G6" s="104"/>
      <c r="H6" s="104"/>
    </row>
    <row r="7" spans="1:8" s="104" customFormat="1" ht="12.75" customHeight="1" x14ac:dyDescent="0.25">
      <c r="D7" s="105"/>
      <c r="E7" s="102"/>
    </row>
    <row r="8" spans="1:8" s="104" customFormat="1" ht="12.75" customHeight="1" x14ac:dyDescent="0.25">
      <c r="D8" s="105"/>
      <c r="E8" s="102"/>
      <c r="F8" s="105" t="s">
        <v>468</v>
      </c>
    </row>
    <row r="9" spans="1:8" s="104" customFormat="1" ht="12.75" customHeight="1" x14ac:dyDescent="0.25">
      <c r="D9" s="105"/>
      <c r="E9" s="102"/>
      <c r="F9" s="105" t="s">
        <v>486</v>
      </c>
    </row>
    <row r="10" spans="1:8" s="104" customFormat="1" ht="12.75" customHeight="1" x14ac:dyDescent="0.25">
      <c r="D10" s="105"/>
      <c r="E10" s="102"/>
      <c r="F10" s="105" t="s">
        <v>10</v>
      </c>
    </row>
    <row r="11" spans="1:8" s="104" customFormat="1" ht="12.75" customHeight="1" x14ac:dyDescent="0.25">
      <c r="D11" s="105"/>
      <c r="E11" s="102"/>
      <c r="F11" s="105" t="s">
        <v>3</v>
      </c>
    </row>
    <row r="12" spans="1:8" s="104" customFormat="1" ht="12.75" customHeight="1" x14ac:dyDescent="0.25">
      <c r="D12" s="105"/>
      <c r="E12" s="102"/>
      <c r="F12" s="105" t="s">
        <v>4</v>
      </c>
    </row>
    <row r="13" spans="1:8" ht="15.75" customHeight="1" x14ac:dyDescent="0.25">
      <c r="F13" s="105" t="s">
        <v>488</v>
      </c>
      <c r="G13" s="104"/>
      <c r="H13" s="104"/>
    </row>
    <row r="14" spans="1:8" s="4" customFormat="1" ht="60.6" customHeight="1" x14ac:dyDescent="0.25">
      <c r="A14" s="346" t="s">
        <v>469</v>
      </c>
      <c r="B14" s="346"/>
      <c r="C14" s="346"/>
      <c r="D14" s="346"/>
      <c r="E14" s="346"/>
      <c r="F14" s="346"/>
      <c r="G14" s="346"/>
      <c r="H14" s="346"/>
    </row>
    <row r="15" spans="1:8" s="4" customFormat="1" ht="15.75" x14ac:dyDescent="0.25">
      <c r="A15" s="254"/>
      <c r="B15" s="254"/>
      <c r="C15" s="254"/>
      <c r="D15" s="254"/>
      <c r="E15" s="254"/>
      <c r="F15" s="254"/>
    </row>
    <row r="16" spans="1:8" s="4" customFormat="1" ht="24.75" customHeight="1" x14ac:dyDescent="0.25">
      <c r="A16" s="347" t="s">
        <v>0</v>
      </c>
      <c r="B16" s="348" t="s">
        <v>6</v>
      </c>
      <c r="C16" s="348" t="s">
        <v>22</v>
      </c>
      <c r="D16" s="348" t="s">
        <v>23</v>
      </c>
      <c r="E16" s="348" t="s">
        <v>24</v>
      </c>
      <c r="F16" s="349" t="s">
        <v>25</v>
      </c>
      <c r="G16" s="350"/>
      <c r="H16" s="351"/>
    </row>
    <row r="17" spans="1:8" s="4" customFormat="1" ht="15.75" customHeight="1" x14ac:dyDescent="0.25">
      <c r="A17" s="347"/>
      <c r="B17" s="348"/>
      <c r="C17" s="348"/>
      <c r="D17" s="348"/>
      <c r="E17" s="348"/>
      <c r="F17" s="251" t="s">
        <v>298</v>
      </c>
      <c r="G17" s="251" t="s">
        <v>343</v>
      </c>
      <c r="H17" s="251" t="s">
        <v>458</v>
      </c>
    </row>
    <row r="18" spans="1:8" s="4" customFormat="1" ht="23.25" customHeight="1" x14ac:dyDescent="0.25">
      <c r="A18" s="289" t="s">
        <v>26</v>
      </c>
      <c r="B18" s="290"/>
      <c r="C18" s="290"/>
      <c r="D18" s="290"/>
      <c r="E18" s="290"/>
      <c r="F18" s="291">
        <f>F19</f>
        <v>13501.722</v>
      </c>
      <c r="G18" s="291">
        <f t="shared" ref="G18:H20" si="0">G19</f>
        <v>3414.7779999999993</v>
      </c>
      <c r="H18" s="291">
        <f t="shared" si="0"/>
        <v>13219.888999999999</v>
      </c>
    </row>
    <row r="19" spans="1:8" s="4" customFormat="1" ht="38.25" x14ac:dyDescent="0.25">
      <c r="A19" s="247" t="s">
        <v>113</v>
      </c>
      <c r="B19" s="261" t="s">
        <v>114</v>
      </c>
      <c r="C19" s="261"/>
      <c r="D19" s="264"/>
      <c r="E19" s="264"/>
      <c r="F19" s="265">
        <f>F20</f>
        <v>13501.722</v>
      </c>
      <c r="G19" s="265">
        <f t="shared" si="0"/>
        <v>3414.7779999999993</v>
      </c>
      <c r="H19" s="265">
        <f t="shared" si="0"/>
        <v>13219.888999999999</v>
      </c>
    </row>
    <row r="20" spans="1:8" s="4" customFormat="1" ht="40.5" x14ac:dyDescent="0.25">
      <c r="A20" s="248" t="s">
        <v>115</v>
      </c>
      <c r="B20" s="266" t="s">
        <v>116</v>
      </c>
      <c r="C20" s="266"/>
      <c r="D20" s="267"/>
      <c r="E20" s="267"/>
      <c r="F20" s="268">
        <f>F21</f>
        <v>13501.722</v>
      </c>
      <c r="G20" s="268">
        <f t="shared" si="0"/>
        <v>3414.7779999999993</v>
      </c>
      <c r="H20" s="268">
        <f t="shared" si="0"/>
        <v>13219.888999999999</v>
      </c>
    </row>
    <row r="21" spans="1:8" s="4" customFormat="1" ht="71.25" customHeight="1" x14ac:dyDescent="0.25">
      <c r="A21" s="249" t="s">
        <v>117</v>
      </c>
      <c r="B21" s="269" t="s">
        <v>118</v>
      </c>
      <c r="C21" s="269"/>
      <c r="D21" s="267"/>
      <c r="E21" s="267"/>
      <c r="F21" s="270">
        <f>F22+F32+F37</f>
        <v>13501.722</v>
      </c>
      <c r="G21" s="270">
        <f>G22+G42</f>
        <v>3414.7779999999993</v>
      </c>
      <c r="H21" s="270">
        <f>H22+H42</f>
        <v>13219.888999999999</v>
      </c>
    </row>
    <row r="22" spans="1:8" s="4" customFormat="1" ht="22.5" customHeight="1" x14ac:dyDescent="0.25">
      <c r="A22" s="250" t="s">
        <v>483</v>
      </c>
      <c r="B22" s="251" t="s">
        <v>120</v>
      </c>
      <c r="C22" s="251"/>
      <c r="D22" s="252"/>
      <c r="E22" s="252"/>
      <c r="F22" s="253">
        <f>F25</f>
        <v>629.98299999999995</v>
      </c>
      <c r="G22" s="253">
        <f>G25</f>
        <v>1754.96</v>
      </c>
      <c r="H22" s="253">
        <f>H25</f>
        <v>1819.893</v>
      </c>
    </row>
    <row r="23" spans="1:8" s="4" customFormat="1" ht="33.75" customHeight="1" x14ac:dyDescent="0.25">
      <c r="A23" s="343" t="s">
        <v>482</v>
      </c>
      <c r="B23" s="344"/>
      <c r="C23" s="344"/>
      <c r="D23" s="344"/>
      <c r="E23" s="344"/>
      <c r="F23" s="344"/>
      <c r="G23" s="344"/>
      <c r="H23" s="345"/>
    </row>
    <row r="24" spans="1:8" s="4" customFormat="1" ht="25.5" x14ac:dyDescent="0.25">
      <c r="A24" s="250" t="s">
        <v>41</v>
      </c>
      <c r="B24" s="251" t="s">
        <v>120</v>
      </c>
      <c r="C24" s="251">
        <v>200</v>
      </c>
      <c r="D24" s="252"/>
      <c r="E24" s="252"/>
      <c r="F24" s="253">
        <f t="shared" ref="F24:H25" si="1">F25</f>
        <v>629.98299999999995</v>
      </c>
      <c r="G24" s="253">
        <f t="shared" si="1"/>
        <v>1754.96</v>
      </c>
      <c r="H24" s="253">
        <f t="shared" si="1"/>
        <v>1819.893</v>
      </c>
    </row>
    <row r="25" spans="1:8" s="4" customFormat="1" ht="25.5" x14ac:dyDescent="0.25">
      <c r="A25" s="246" t="s">
        <v>42</v>
      </c>
      <c r="B25" s="251" t="s">
        <v>120</v>
      </c>
      <c r="C25" s="251">
        <v>240</v>
      </c>
      <c r="D25" s="252"/>
      <c r="E25" s="252"/>
      <c r="F25" s="253">
        <f t="shared" si="1"/>
        <v>629.98299999999995</v>
      </c>
      <c r="G25" s="253">
        <f t="shared" si="1"/>
        <v>1754.96</v>
      </c>
      <c r="H25" s="253">
        <f t="shared" si="1"/>
        <v>1819.893</v>
      </c>
    </row>
    <row r="26" spans="1:8" s="4" customFormat="1" ht="20.25" customHeight="1" x14ac:dyDescent="0.25">
      <c r="A26" s="250" t="s">
        <v>121</v>
      </c>
      <c r="B26" s="251" t="s">
        <v>120</v>
      </c>
      <c r="C26" s="251">
        <v>240</v>
      </c>
      <c r="D26" s="252" t="s">
        <v>52</v>
      </c>
      <c r="E26" s="252" t="s">
        <v>108</v>
      </c>
      <c r="F26" s="253">
        <v>629.98299999999995</v>
      </c>
      <c r="G26" s="253">
        <v>1754.96</v>
      </c>
      <c r="H26" s="253">
        <v>1819.893</v>
      </c>
    </row>
    <row r="27" spans="1:8" s="4" customFormat="1" ht="27.75" hidden="1" customHeight="1" x14ac:dyDescent="0.25">
      <c r="A27" s="271" t="s">
        <v>122</v>
      </c>
      <c r="B27" s="136" t="s">
        <v>123</v>
      </c>
      <c r="C27" s="251"/>
      <c r="D27" s="252"/>
      <c r="E27" s="252"/>
      <c r="F27" s="253">
        <f>F29</f>
        <v>0</v>
      </c>
      <c r="G27" s="253">
        <f>G29</f>
        <v>0</v>
      </c>
      <c r="H27" s="253">
        <f>H29</f>
        <v>0</v>
      </c>
    </row>
    <row r="28" spans="1:8" s="4" customFormat="1" ht="48" hidden="1" customHeight="1" x14ac:dyDescent="0.25">
      <c r="A28" s="337" t="s">
        <v>490</v>
      </c>
      <c r="B28" s="338"/>
      <c r="C28" s="338"/>
      <c r="D28" s="338"/>
      <c r="E28" s="338"/>
      <c r="F28" s="338"/>
      <c r="G28" s="338"/>
      <c r="H28" s="339"/>
    </row>
    <row r="29" spans="1:8" s="4" customFormat="1" ht="32.25" hidden="1" customHeight="1" x14ac:dyDescent="0.25">
      <c r="A29" s="250" t="s">
        <v>41</v>
      </c>
      <c r="B29" s="136" t="s">
        <v>123</v>
      </c>
      <c r="C29" s="136">
        <v>200</v>
      </c>
      <c r="D29" s="252"/>
      <c r="E29" s="252"/>
      <c r="F29" s="253">
        <f t="shared" ref="F29:H30" si="2">F30</f>
        <v>0</v>
      </c>
      <c r="G29" s="253">
        <f t="shared" si="2"/>
        <v>0</v>
      </c>
      <c r="H29" s="253">
        <f t="shared" si="2"/>
        <v>0</v>
      </c>
    </row>
    <row r="30" spans="1:8" s="4" customFormat="1" ht="33.75" hidden="1" customHeight="1" x14ac:dyDescent="0.25">
      <c r="A30" s="246" t="s">
        <v>42</v>
      </c>
      <c r="B30" s="136" t="s">
        <v>123</v>
      </c>
      <c r="C30" s="251">
        <v>240</v>
      </c>
      <c r="D30" s="252"/>
      <c r="E30" s="252"/>
      <c r="F30" s="253">
        <f t="shared" si="2"/>
        <v>0</v>
      </c>
      <c r="G30" s="253">
        <f t="shared" si="2"/>
        <v>0</v>
      </c>
      <c r="H30" s="253">
        <f t="shared" si="2"/>
        <v>0</v>
      </c>
    </row>
    <row r="31" spans="1:8" s="4" customFormat="1" ht="30.75" hidden="1" customHeight="1" x14ac:dyDescent="0.25">
      <c r="A31" s="250" t="s">
        <v>121</v>
      </c>
      <c r="B31" s="136" t="s">
        <v>123</v>
      </c>
      <c r="C31" s="251">
        <v>240</v>
      </c>
      <c r="D31" s="252" t="s">
        <v>52</v>
      </c>
      <c r="E31" s="252" t="s">
        <v>108</v>
      </c>
      <c r="F31" s="253">
        <v>0</v>
      </c>
      <c r="G31" s="253">
        <v>0</v>
      </c>
      <c r="H31" s="253">
        <v>0</v>
      </c>
    </row>
    <row r="32" spans="1:8" s="4" customFormat="1" ht="25.5" x14ac:dyDescent="0.25">
      <c r="A32" s="271" t="s">
        <v>481</v>
      </c>
      <c r="B32" s="16" t="s">
        <v>497</v>
      </c>
      <c r="C32" s="251"/>
      <c r="D32" s="252"/>
      <c r="E32" s="252"/>
      <c r="F32" s="253">
        <f>F34</f>
        <v>9987.14</v>
      </c>
      <c r="G32" s="253">
        <f>G34</f>
        <v>0</v>
      </c>
      <c r="H32" s="253">
        <f>H34</f>
        <v>0</v>
      </c>
    </row>
    <row r="33" spans="1:10" s="4" customFormat="1" ht="54.75" customHeight="1" x14ac:dyDescent="0.25">
      <c r="A33" s="337" t="s">
        <v>500</v>
      </c>
      <c r="B33" s="338"/>
      <c r="C33" s="338"/>
      <c r="D33" s="338"/>
      <c r="E33" s="338"/>
      <c r="F33" s="338"/>
      <c r="G33" s="338"/>
      <c r="H33" s="339"/>
    </row>
    <row r="34" spans="1:10" s="4" customFormat="1" ht="25.5" x14ac:dyDescent="0.25">
      <c r="A34" s="250" t="s">
        <v>41</v>
      </c>
      <c r="B34" s="16" t="s">
        <v>497</v>
      </c>
      <c r="C34" s="136">
        <v>200</v>
      </c>
      <c r="D34" s="252"/>
      <c r="E34" s="252"/>
      <c r="F34" s="253">
        <f t="shared" ref="F34:H35" si="3">F35</f>
        <v>9987.14</v>
      </c>
      <c r="G34" s="253">
        <f t="shared" si="3"/>
        <v>0</v>
      </c>
      <c r="H34" s="253">
        <f t="shared" si="3"/>
        <v>0</v>
      </c>
    </row>
    <row r="35" spans="1:10" s="4" customFormat="1" ht="29.25" customHeight="1" x14ac:dyDescent="0.25">
      <c r="A35" s="246" t="s">
        <v>42</v>
      </c>
      <c r="B35" s="16" t="s">
        <v>497</v>
      </c>
      <c r="C35" s="251">
        <v>240</v>
      </c>
      <c r="D35" s="252"/>
      <c r="E35" s="252"/>
      <c r="F35" s="253">
        <f t="shared" si="3"/>
        <v>9987.14</v>
      </c>
      <c r="G35" s="253">
        <f t="shared" si="3"/>
        <v>0</v>
      </c>
      <c r="H35" s="253">
        <f t="shared" si="3"/>
        <v>0</v>
      </c>
    </row>
    <row r="36" spans="1:10" s="4" customFormat="1" ht="27" customHeight="1" x14ac:dyDescent="0.25">
      <c r="A36" s="250" t="s">
        <v>121</v>
      </c>
      <c r="B36" s="16" t="s">
        <v>497</v>
      </c>
      <c r="C36" s="251">
        <v>240</v>
      </c>
      <c r="D36" s="252" t="s">
        <v>52</v>
      </c>
      <c r="E36" s="252" t="s">
        <v>108</v>
      </c>
      <c r="F36" s="253">
        <f>12748.382-2718.463-42.779</f>
        <v>9987.14</v>
      </c>
      <c r="G36" s="253">
        <f>G37</f>
        <v>0</v>
      </c>
      <c r="H36" s="253">
        <v>0</v>
      </c>
    </row>
    <row r="37" spans="1:10" s="4" customFormat="1" ht="38.25" customHeight="1" x14ac:dyDescent="0.25">
      <c r="A37" s="271" t="s">
        <v>481</v>
      </c>
      <c r="B37" s="136" t="s">
        <v>126</v>
      </c>
      <c r="C37" s="251"/>
      <c r="D37" s="252"/>
      <c r="E37" s="252"/>
      <c r="F37" s="253">
        <f>F39</f>
        <v>2884.5990000000002</v>
      </c>
      <c r="G37" s="253">
        <v>0</v>
      </c>
      <c r="H37" s="253">
        <f>H39</f>
        <v>0</v>
      </c>
    </row>
    <row r="38" spans="1:10" ht="58.5" customHeight="1" x14ac:dyDescent="0.2">
      <c r="A38" s="337" t="s">
        <v>490</v>
      </c>
      <c r="B38" s="338"/>
      <c r="C38" s="338"/>
      <c r="D38" s="338"/>
      <c r="E38" s="338"/>
      <c r="F38" s="338"/>
      <c r="G38" s="338"/>
      <c r="H38" s="339"/>
    </row>
    <row r="39" spans="1:10" ht="25.5" x14ac:dyDescent="0.2">
      <c r="A39" s="250" t="s">
        <v>41</v>
      </c>
      <c r="B39" s="136" t="s">
        <v>126</v>
      </c>
      <c r="C39" s="136">
        <v>200</v>
      </c>
      <c r="D39" s="252"/>
      <c r="E39" s="252"/>
      <c r="F39" s="253">
        <f t="shared" ref="F39:H40" si="4">F40</f>
        <v>2884.5990000000002</v>
      </c>
      <c r="G39" s="253">
        <f t="shared" si="4"/>
        <v>0</v>
      </c>
      <c r="H39" s="253">
        <f t="shared" si="4"/>
        <v>0</v>
      </c>
    </row>
    <row r="40" spans="1:10" ht="25.5" x14ac:dyDescent="0.2">
      <c r="A40" s="246" t="s">
        <v>42</v>
      </c>
      <c r="B40" s="136" t="s">
        <v>126</v>
      </c>
      <c r="C40" s="251">
        <v>240</v>
      </c>
      <c r="D40" s="252"/>
      <c r="E40" s="252"/>
      <c r="F40" s="253">
        <f t="shared" si="4"/>
        <v>2884.5990000000002</v>
      </c>
      <c r="G40" s="253">
        <f t="shared" si="4"/>
        <v>0</v>
      </c>
      <c r="H40" s="253">
        <f t="shared" si="4"/>
        <v>0</v>
      </c>
    </row>
    <row r="41" spans="1:10" ht="28.5" customHeight="1" x14ac:dyDescent="0.2">
      <c r="A41" s="250" t="s">
        <v>121</v>
      </c>
      <c r="B41" s="136" t="s">
        <v>126</v>
      </c>
      <c r="C41" s="251">
        <v>240</v>
      </c>
      <c r="D41" s="252" t="s">
        <v>52</v>
      </c>
      <c r="E41" s="252" t="s">
        <v>108</v>
      </c>
      <c r="F41" s="253">
        <v>2884.5990000000002</v>
      </c>
      <c r="G41" s="253">
        <v>0</v>
      </c>
      <c r="H41" s="253">
        <v>0</v>
      </c>
    </row>
    <row r="42" spans="1:10" ht="35.25" customHeight="1" x14ac:dyDescent="0.2">
      <c r="A42" s="298" t="s">
        <v>481</v>
      </c>
      <c r="B42" s="110" t="s">
        <v>492</v>
      </c>
      <c r="C42" s="110"/>
      <c r="D42" s="129"/>
      <c r="E42" s="129"/>
      <c r="F42" s="130">
        <v>0</v>
      </c>
      <c r="G42" s="130">
        <f>G44</f>
        <v>1659.8179999999993</v>
      </c>
      <c r="H42" s="130">
        <f>H44</f>
        <v>11399.995999999999</v>
      </c>
    </row>
    <row r="43" spans="1:10" ht="41.25" customHeight="1" x14ac:dyDescent="0.25">
      <c r="A43" s="340" t="s">
        <v>494</v>
      </c>
      <c r="B43" s="341"/>
      <c r="C43" s="341"/>
      <c r="D43" s="341"/>
      <c r="E43" s="341"/>
      <c r="F43" s="341"/>
      <c r="G43" s="341"/>
      <c r="H43" s="342"/>
      <c r="J43" s="297"/>
    </row>
    <row r="44" spans="1:10" ht="36.75" customHeight="1" x14ac:dyDescent="0.2">
      <c r="A44" s="128" t="s">
        <v>41</v>
      </c>
      <c r="B44" s="110" t="s">
        <v>492</v>
      </c>
      <c r="C44" s="110">
        <v>200</v>
      </c>
      <c r="D44" s="129"/>
      <c r="E44" s="129"/>
      <c r="F44" s="130">
        <v>0</v>
      </c>
      <c r="G44" s="130">
        <f>G45</f>
        <v>1659.8179999999993</v>
      </c>
      <c r="H44" s="130">
        <f>H45</f>
        <v>11399.995999999999</v>
      </c>
    </row>
    <row r="45" spans="1:10" ht="36.75" customHeight="1" x14ac:dyDescent="0.2">
      <c r="A45" s="36" t="s">
        <v>42</v>
      </c>
      <c r="B45" s="110" t="s">
        <v>492</v>
      </c>
      <c r="C45" s="110">
        <v>240</v>
      </c>
      <c r="D45" s="129"/>
      <c r="E45" s="129"/>
      <c r="F45" s="130">
        <v>0</v>
      </c>
      <c r="G45" s="130">
        <f>G46</f>
        <v>1659.8179999999993</v>
      </c>
      <c r="H45" s="130">
        <f>H46</f>
        <v>11399.995999999999</v>
      </c>
    </row>
    <row r="46" spans="1:10" ht="38.25" customHeight="1" x14ac:dyDescent="0.2">
      <c r="A46" s="128" t="s">
        <v>121</v>
      </c>
      <c r="B46" s="110" t="s">
        <v>492</v>
      </c>
      <c r="C46" s="110">
        <v>240</v>
      </c>
      <c r="D46" s="129" t="s">
        <v>52</v>
      </c>
      <c r="E46" s="129" t="s">
        <v>108</v>
      </c>
      <c r="F46" s="130">
        <v>0</v>
      </c>
      <c r="G46" s="130">
        <f>12937.233-11277.415</f>
        <v>1659.8179999999993</v>
      </c>
      <c r="H46" s="130">
        <v>11399.995999999999</v>
      </c>
    </row>
    <row r="50" spans="2:2" ht="15.75" x14ac:dyDescent="0.25">
      <c r="B50" s="297"/>
    </row>
  </sheetData>
  <mergeCells count="12">
    <mergeCell ref="A14:H14"/>
    <mergeCell ref="A16:A17"/>
    <mergeCell ref="B16:B17"/>
    <mergeCell ref="C16:C17"/>
    <mergeCell ref="D16:D17"/>
    <mergeCell ref="E16:E17"/>
    <mergeCell ref="F16:H16"/>
    <mergeCell ref="A33:H33"/>
    <mergeCell ref="A38:H38"/>
    <mergeCell ref="A43:H43"/>
    <mergeCell ref="A28:H28"/>
    <mergeCell ref="A23:H23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2- 1</vt:lpstr>
      <vt:lpstr>прил 5-2</vt:lpstr>
      <vt:lpstr>прил 7 - 3</vt:lpstr>
      <vt:lpstr>прил 11 - 4</vt:lpstr>
      <vt:lpstr>прил 13-5</vt:lpstr>
      <vt:lpstr>'прил 5-2'!Область_печати</vt:lpstr>
      <vt:lpstr>'прил 7 - 3'!Область_печати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Kozlova.NV</cp:lastModifiedBy>
  <cp:lastPrinted>2021-12-29T07:40:01Z</cp:lastPrinted>
  <dcterms:created xsi:type="dcterms:W3CDTF">1996-10-08T23:32:33Z</dcterms:created>
  <dcterms:modified xsi:type="dcterms:W3CDTF">2021-12-29T07:40:04Z</dcterms:modified>
</cp:coreProperties>
</file>